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man.becerra\OneDrive - AES Corporation\02 HIDROLOGIA\00 SH&amp;PH\418 Oct082020\"/>
    </mc:Choice>
  </mc:AlternateContent>
  <xr:revisionPtr revIDLastSave="0" documentId="13_ncr:1_{B8C6A7D4-066A-47E3-A5FE-77FF9201DE12}" xr6:coauthVersionLast="44" xr6:coauthVersionMax="44" xr10:uidLastSave="{00000000-0000-0000-0000-000000000000}"/>
  <bookViews>
    <workbookView xWindow="-110" yWindow="-110" windowWidth="19420" windowHeight="10420" tabRatio="817" activeTab="2" xr2:uid="{00000000-000D-0000-FFFF-FFFF00000000}"/>
  </bookViews>
  <sheets>
    <sheet name="INFORMACION ENVIADA 2020" sheetId="36" r:id="rId1"/>
    <sheet name="TABLA GNAL" sheetId="21" r:id="rId2"/>
    <sheet name="TABLAS PRESENTACION" sheetId="23" r:id="rId3"/>
    <sheet name="Playas" sheetId="3" r:id="rId4"/>
    <sheet name="Guatapé" sheetId="1" r:id="rId5"/>
    <sheet name="RiograndeII" sheetId="2" r:id="rId6"/>
    <sheet name="Miraflores" sheetId="32" r:id="rId7"/>
    <sheet name="Troneras" sheetId="5" r:id="rId8"/>
    <sheet name="Porce II" sheetId="6" r:id="rId9"/>
    <sheet name="Porce III" sheetId="7" r:id="rId10"/>
    <sheet name="Riogrande I" sheetId="8" state="hidden" r:id="rId11"/>
    <sheet name="San Carlos - Punchiná" sheetId="15" r:id="rId12"/>
    <sheet name="Jaguas - San Lorenzo" sheetId="16" r:id="rId13"/>
    <sheet name="Miel I - Amaní" sheetId="17" r:id="rId14"/>
    <sheet name="Sogamoso - Topocoro" sheetId="18" r:id="rId15"/>
    <sheet name="ALTO ANCHICAYA" sheetId="9" r:id="rId16"/>
    <sheet name="SALVAJINA" sheetId="10" r:id="rId17"/>
    <sheet name="CALIMA" sheetId="11" r:id="rId18"/>
    <sheet name="PRADO" sheetId="12" r:id="rId19"/>
    <sheet name="GUAVIO" sheetId="24" r:id="rId20"/>
    <sheet name="BETANIA" sheetId="25" r:id="rId21"/>
    <sheet name="QUIMBO" sheetId="26" r:id="rId22"/>
    <sheet name="SISGA" sheetId="27" r:id="rId23"/>
    <sheet name="TOMINE" sheetId="28" r:id="rId24"/>
    <sheet name="NEUSA" sheetId="29" r:id="rId25"/>
    <sheet name="CHUZA" sheetId="30" r:id="rId26"/>
    <sheet name="MUÑA" sheetId="31" r:id="rId27"/>
    <sheet name="URRÁ S.A. E..S.P. - URRÁ" sheetId="14" r:id="rId28"/>
    <sheet name="AES - COLOMBIA" sheetId="19" r:id="rId29"/>
  </sheets>
  <externalReferences>
    <externalReference r:id="rId30"/>
  </externalReferences>
  <definedNames>
    <definedName name="_xlnm._FilterDatabase" localSheetId="1" hidden="1">'TABLA GNAL'!$E$38:$F$62</definedName>
    <definedName name="_xlchart.v1.0" hidden="1">'TABLA GNAL'!$AD$3</definedName>
    <definedName name="_xlchart.v1.1" hidden="1">'TABLA GNAL'!$AD$4:$AD$28</definedName>
    <definedName name="_xlchart.v1.2" hidden="1">'TABLA GNAL'!$AE$3</definedName>
    <definedName name="_xlchart.v1.3" hidden="1">'TABLA GNAL'!$AE$4:$AE$28</definedName>
    <definedName name="_xlchart.v1.4" hidden="1">'TABLA GNAL'!$AF$3</definedName>
    <definedName name="_xlchart.v1.5" hidden="1">'TABLA GNAL'!$AF$4:$AF$28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3" l="1"/>
  <c r="Q32" i="9"/>
  <c r="P32" i="9"/>
  <c r="O32" i="9"/>
  <c r="O33" i="9" l="1"/>
  <c r="P33" i="9" l="1"/>
  <c r="O32" i="6"/>
  <c r="O33" i="3" l="1"/>
  <c r="P33" i="3"/>
  <c r="Q33" i="3"/>
  <c r="Q32" i="3"/>
  <c r="P32" i="3"/>
  <c r="CF4" i="21"/>
  <c r="O32" i="15"/>
  <c r="Q32" i="2"/>
  <c r="P32" i="2"/>
  <c r="O32" i="2"/>
  <c r="D42" i="7" l="1"/>
  <c r="D41" i="7"/>
  <c r="D40" i="7"/>
  <c r="C42" i="7"/>
  <c r="C41" i="7"/>
  <c r="C40" i="7"/>
  <c r="D45" i="19"/>
  <c r="D44" i="19"/>
  <c r="C45" i="19"/>
  <c r="C44" i="19"/>
  <c r="Q32" i="30" l="1"/>
  <c r="O32" i="27"/>
  <c r="Q32" i="25"/>
  <c r="Q10" i="21" l="1"/>
  <c r="O32" i="14"/>
  <c r="O32" i="12"/>
  <c r="O32" i="11"/>
  <c r="O32" i="10"/>
  <c r="D41" i="9"/>
  <c r="C41" i="9"/>
  <c r="C40" i="9"/>
  <c r="C39" i="9"/>
  <c r="Q32" i="15"/>
  <c r="O32" i="17"/>
  <c r="D44" i="3"/>
  <c r="D43" i="3"/>
  <c r="D42" i="3"/>
  <c r="C44" i="3"/>
  <c r="C43" i="3"/>
  <c r="C42" i="3"/>
  <c r="D40" i="9"/>
  <c r="D39" i="9"/>
  <c r="O32" i="16"/>
  <c r="P32" i="15"/>
  <c r="Q4" i="21"/>
  <c r="EM34" i="21" l="1"/>
  <c r="AV34" i="21"/>
  <c r="FF34" i="21" s="1"/>
  <c r="AU34" i="21"/>
  <c r="FA34" i="21" s="1"/>
  <c r="AT34" i="21"/>
  <c r="ET34" i="21" s="1"/>
  <c r="AS34" i="21"/>
  <c r="EK34" i="21" s="1"/>
  <c r="AR34" i="21"/>
  <c r="Y34" i="21"/>
  <c r="X34" i="21"/>
  <c r="W34" i="21"/>
  <c r="N34" i="21"/>
  <c r="K34" i="21"/>
  <c r="J34" i="21"/>
  <c r="ED34" i="21" s="1"/>
  <c r="I34" i="21"/>
  <c r="H34" i="21"/>
  <c r="G34" i="21"/>
  <c r="V28" i="21"/>
  <c r="T28" i="21"/>
  <c r="R28" i="21"/>
  <c r="P33" i="19"/>
  <c r="P32" i="19"/>
  <c r="V20" i="21"/>
  <c r="T20" i="21"/>
  <c r="R20" i="21"/>
  <c r="V18" i="21"/>
  <c r="T18" i="21"/>
  <c r="R18" i="21"/>
  <c r="R15" i="21"/>
  <c r="Q15" i="21"/>
  <c r="C44" i="17"/>
  <c r="C43" i="17"/>
  <c r="P32" i="17"/>
  <c r="P33" i="17" s="1"/>
  <c r="O33" i="17"/>
  <c r="V13" i="21"/>
  <c r="T13" i="21"/>
  <c r="R13" i="21"/>
  <c r="V11" i="21"/>
  <c r="T11" i="21"/>
  <c r="R11" i="21"/>
  <c r="Q32" i="7"/>
  <c r="P33" i="7"/>
  <c r="P32" i="7"/>
  <c r="O32" i="7"/>
  <c r="O33" i="7" s="1"/>
  <c r="V10" i="21"/>
  <c r="U10" i="21"/>
  <c r="T10" i="21"/>
  <c r="S10" i="21"/>
  <c r="R10" i="21"/>
  <c r="O30" i="21"/>
  <c r="P30" i="21"/>
  <c r="V6" i="21"/>
  <c r="T6" i="21"/>
  <c r="R6" i="21"/>
  <c r="BG4" i="21"/>
  <c r="DR29" i="21"/>
  <c r="DQ29" i="21"/>
  <c r="DP29" i="21"/>
  <c r="DM29" i="21"/>
  <c r="F6" i="21"/>
  <c r="F7" i="21"/>
  <c r="F8" i="21"/>
  <c r="F9" i="21"/>
  <c r="F10" i="21"/>
  <c r="AV10" i="21" s="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5" i="21"/>
  <c r="F4" i="21"/>
  <c r="AS4" i="21" s="1"/>
  <c r="V4" i="21"/>
  <c r="T4" i="21"/>
  <c r="R4" i="21"/>
  <c r="W4" i="21" s="1"/>
  <c r="D44" i="15"/>
  <c r="C44" i="15"/>
  <c r="D43" i="15"/>
  <c r="C43" i="15"/>
  <c r="D42" i="15"/>
  <c r="C42" i="15"/>
  <c r="D44" i="2"/>
  <c r="C44" i="2"/>
  <c r="D43" i="2"/>
  <c r="C43" i="2"/>
  <c r="D42" i="2"/>
  <c r="C42" i="2"/>
  <c r="O32" i="19"/>
  <c r="D33" i="14"/>
  <c r="D32" i="14"/>
  <c r="D31" i="14"/>
  <c r="C33" i="14"/>
  <c r="C32" i="14"/>
  <c r="C31" i="14"/>
  <c r="P32" i="31"/>
  <c r="C44" i="31"/>
  <c r="D43" i="31"/>
  <c r="C43" i="31"/>
  <c r="D42" i="31"/>
  <c r="C42" i="31"/>
  <c r="P32" i="30"/>
  <c r="O32" i="30"/>
  <c r="D42" i="30"/>
  <c r="C42" i="30"/>
  <c r="D44" i="30"/>
  <c r="C44" i="30"/>
  <c r="D43" i="30"/>
  <c r="C43" i="30"/>
  <c r="C42" i="27"/>
  <c r="D44" i="25"/>
  <c r="C44" i="25"/>
  <c r="D43" i="25"/>
  <c r="C43" i="25"/>
  <c r="D42" i="25"/>
  <c r="C42" i="25"/>
  <c r="P32" i="25"/>
  <c r="O32" i="25"/>
  <c r="Q33" i="25"/>
  <c r="P33" i="25"/>
  <c r="O33" i="25"/>
  <c r="EC34" i="21" l="1"/>
  <c r="EO34" i="21"/>
  <c r="EV34" i="21"/>
  <c r="EE34" i="21"/>
  <c r="EW34" i="21"/>
  <c r="EX34" i="21"/>
  <c r="Q33" i="7"/>
  <c r="AC10" i="21"/>
  <c r="DV34" i="21"/>
  <c r="FG34" i="21"/>
  <c r="O33" i="19"/>
  <c r="AA28" i="21"/>
  <c r="DU34" i="21"/>
  <c r="EJ34" i="21"/>
  <c r="EA34" i="21"/>
  <c r="EL34" i="21"/>
  <c r="EB34" i="21"/>
  <c r="DW34" i="21"/>
  <c r="EF34" i="21"/>
  <c r="EP34" i="21"/>
  <c r="EY34" i="21"/>
  <c r="FH34" i="21"/>
  <c r="DX34" i="21"/>
  <c r="EH34" i="21"/>
  <c r="EQ34" i="21"/>
  <c r="EZ34" i="21"/>
  <c r="DY34" i="21"/>
  <c r="EI34" i="21"/>
  <c r="ER34" i="21"/>
  <c r="ES34" i="21"/>
  <c r="FC34" i="21"/>
  <c r="FD34" i="21"/>
  <c r="FE34" i="21"/>
  <c r="AV4" i="21"/>
  <c r="D43" i="12" l="1"/>
  <c r="C43" i="12"/>
  <c r="D42" i="12"/>
  <c r="C42" i="12"/>
  <c r="D41" i="12"/>
  <c r="C41" i="12"/>
  <c r="Q32" i="12"/>
  <c r="P32" i="12"/>
  <c r="P33" i="12" s="1"/>
  <c r="O33" i="12"/>
  <c r="C43" i="18"/>
  <c r="D45" i="18"/>
  <c r="C45" i="18"/>
  <c r="D44" i="18"/>
  <c r="C44" i="18"/>
  <c r="D43" i="18"/>
  <c r="Q32" i="18"/>
  <c r="P32" i="18"/>
  <c r="O32" i="18"/>
  <c r="O33" i="18" s="1"/>
  <c r="Q33" i="18"/>
  <c r="P33" i="18"/>
  <c r="D44" i="17"/>
  <c r="D43" i="17"/>
  <c r="L25" i="17"/>
  <c r="L24" i="17"/>
  <c r="P33" i="16"/>
  <c r="Q32" i="16"/>
  <c r="Q33" i="16" s="1"/>
  <c r="P32" i="16"/>
  <c r="O33" i="16"/>
  <c r="D42" i="16"/>
  <c r="C42" i="16"/>
  <c r="D44" i="16"/>
  <c r="C44" i="16"/>
  <c r="D43" i="16"/>
  <c r="C43" i="16"/>
  <c r="D45" i="17" l="1"/>
  <c r="Q32" i="17"/>
  <c r="Q33" i="17" s="1"/>
  <c r="C45" i="17"/>
  <c r="I4" i="21"/>
  <c r="K27" i="21" l="1"/>
  <c r="J27" i="21"/>
  <c r="I27" i="21"/>
  <c r="H27" i="21"/>
  <c r="G27" i="21"/>
  <c r="Q32" i="14"/>
  <c r="P32" i="14"/>
  <c r="Q32" i="28"/>
  <c r="P32" i="28"/>
  <c r="O32" i="28"/>
  <c r="Q32" i="24"/>
  <c r="P32" i="24"/>
  <c r="O32" i="24"/>
  <c r="N10" i="21"/>
  <c r="Q32" i="6" l="1"/>
  <c r="P32" i="6"/>
  <c r="Q32" i="5"/>
  <c r="P32" i="5"/>
  <c r="O32" i="5"/>
  <c r="Q32" i="1"/>
  <c r="P32" i="1"/>
  <c r="O32" i="1"/>
  <c r="O33" i="1" s="1"/>
  <c r="Q33" i="14" l="1"/>
  <c r="P33" i="14"/>
  <c r="O33" i="14"/>
  <c r="O32" i="31"/>
  <c r="Q32" i="29"/>
  <c r="P32" i="29"/>
  <c r="O32" i="29"/>
  <c r="Q33" i="28"/>
  <c r="P33" i="28"/>
  <c r="O33" i="28"/>
  <c r="O33" i="24"/>
  <c r="P32" i="11"/>
  <c r="P32" i="10"/>
  <c r="Q32" i="10"/>
  <c r="P32" i="32"/>
  <c r="P33" i="1"/>
  <c r="O32" i="32"/>
  <c r="T5" i="21"/>
  <c r="Q33" i="9" l="1"/>
  <c r="AA4" i="21"/>
  <c r="AI4" i="21" s="1"/>
  <c r="DG29" i="21"/>
  <c r="D32" i="23" s="1"/>
  <c r="CR29" i="21"/>
  <c r="C37" i="23" s="1"/>
  <c r="C34" i="23" s="1"/>
  <c r="CM29" i="21"/>
  <c r="F38" i="23" s="1"/>
  <c r="CL29" i="21"/>
  <c r="E38" i="23" s="1"/>
  <c r="DN29" i="21"/>
  <c r="D31" i="23" s="1"/>
  <c r="CZ29" i="21"/>
  <c r="D33" i="23" s="1"/>
  <c r="CO29" i="21"/>
  <c r="H38" i="23" s="1"/>
  <c r="CN29" i="21"/>
  <c r="G38" i="23" s="1"/>
  <c r="CK29" i="21"/>
  <c r="D38" i="23" s="1"/>
  <c r="CJ29" i="21"/>
  <c r="C38" i="23" s="1"/>
  <c r="U26" i="21"/>
  <c r="S26" i="21"/>
  <c r="Q26" i="21"/>
  <c r="U25" i="21"/>
  <c r="S25" i="21"/>
  <c r="Q25" i="21"/>
  <c r="U15" i="21"/>
  <c r="S15" i="21"/>
  <c r="U14" i="21"/>
  <c r="S14" i="21"/>
  <c r="Q14" i="21"/>
  <c r="U12" i="21"/>
  <c r="S12" i="21"/>
  <c r="Q12" i="21"/>
  <c r="Q13" i="21"/>
  <c r="U11" i="21"/>
  <c r="S11" i="21"/>
  <c r="Q11" i="21"/>
  <c r="S28" i="21"/>
  <c r="Q28" i="21"/>
  <c r="Q32" i="31"/>
  <c r="D42" i="29"/>
  <c r="L31" i="19"/>
  <c r="C46" i="19" l="1"/>
  <c r="D46" i="19"/>
  <c r="Q32" i="19"/>
  <c r="Q33" i="19" s="1"/>
  <c r="U28" i="21"/>
  <c r="Q33" i="31"/>
  <c r="P33" i="31"/>
  <c r="Q33" i="30"/>
  <c r="O33" i="30"/>
  <c r="Q33" i="29"/>
  <c r="P33" i="29"/>
  <c r="O33" i="29"/>
  <c r="P33" i="30" l="1"/>
  <c r="O33" i="27"/>
  <c r="Q32" i="27"/>
  <c r="Q33" i="27" s="1"/>
  <c r="P32" i="27"/>
  <c r="P33" i="27" s="1"/>
  <c r="Q33" i="24"/>
  <c r="P33" i="24"/>
  <c r="Q33" i="12"/>
  <c r="Q32" i="11"/>
  <c r="P33" i="11"/>
  <c r="O33" i="11"/>
  <c r="Q33" i="10"/>
  <c r="P33" i="10"/>
  <c r="O33" i="10"/>
  <c r="Q33" i="11" l="1"/>
  <c r="Q33" i="15"/>
  <c r="O33" i="15"/>
  <c r="P33" i="15"/>
  <c r="AE26" i="21" l="1"/>
  <c r="AF26" i="21"/>
  <c r="AD26" i="21"/>
  <c r="AB26" i="21"/>
  <c r="AC26" i="21"/>
  <c r="AA26" i="21"/>
  <c r="AE25" i="21"/>
  <c r="AF25" i="21"/>
  <c r="AD25" i="21"/>
  <c r="AB25" i="21"/>
  <c r="AC25" i="21"/>
  <c r="AA25" i="21"/>
  <c r="AE24" i="21"/>
  <c r="AF24" i="21"/>
  <c r="AD24" i="21"/>
  <c r="AB24" i="21"/>
  <c r="AC24" i="21"/>
  <c r="AA24" i="21"/>
  <c r="AB23" i="21"/>
  <c r="AC23" i="21"/>
  <c r="AA23" i="21"/>
  <c r="AE22" i="21"/>
  <c r="AF22" i="21"/>
  <c r="AD22" i="21"/>
  <c r="AB22" i="21"/>
  <c r="AC22" i="21"/>
  <c r="AA22" i="21"/>
  <c r="AE20" i="21"/>
  <c r="AF20" i="21"/>
  <c r="AD20" i="21"/>
  <c r="AB20" i="21"/>
  <c r="AC20" i="21"/>
  <c r="AA20" i="21"/>
  <c r="AE19" i="21"/>
  <c r="AF19" i="21"/>
  <c r="AD19" i="21"/>
  <c r="AB19" i="21"/>
  <c r="AC19" i="21"/>
  <c r="AA19" i="21"/>
  <c r="AB13" i="21"/>
  <c r="AA13" i="21"/>
  <c r="AD12" i="21"/>
  <c r="AB12" i="21"/>
  <c r="AC12" i="21"/>
  <c r="AA12" i="21"/>
  <c r="AE11" i="21"/>
  <c r="AF11" i="21"/>
  <c r="AD11" i="21"/>
  <c r="AA11" i="21"/>
  <c r="AE23" i="21"/>
  <c r="AF23" i="21"/>
  <c r="AD23" i="21"/>
  <c r="AE13" i="21"/>
  <c r="AD13" i="21"/>
  <c r="AF12" i="21" l="1"/>
  <c r="AE12" i="21"/>
  <c r="AI14" i="21"/>
  <c r="AJ14" i="21"/>
  <c r="AK14" i="21"/>
  <c r="AL14" i="21"/>
  <c r="AM14" i="21"/>
  <c r="AN14" i="21"/>
  <c r="AI21" i="21"/>
  <c r="AJ21" i="21"/>
  <c r="AK21" i="21"/>
  <c r="AL21" i="21"/>
  <c r="AM21" i="21"/>
  <c r="AN21" i="21"/>
  <c r="P33" i="2" l="1"/>
  <c r="AC28" i="21"/>
  <c r="AE27" i="21"/>
  <c r="AF27" i="21"/>
  <c r="AD27" i="21"/>
  <c r="AB27" i="21"/>
  <c r="AC27" i="21"/>
  <c r="AA27" i="21"/>
  <c r="AJ24" i="21"/>
  <c r="AK24" i="21"/>
  <c r="AI24" i="21"/>
  <c r="AJ22" i="21"/>
  <c r="AK22" i="21"/>
  <c r="AI22" i="21"/>
  <c r="AM20" i="21"/>
  <c r="AN20" i="21"/>
  <c r="AL20" i="21"/>
  <c r="AJ20" i="21"/>
  <c r="AK20" i="21"/>
  <c r="AI20" i="21"/>
  <c r="AE18" i="21"/>
  <c r="AF18" i="21"/>
  <c r="AD18" i="21"/>
  <c r="AB18" i="21"/>
  <c r="AC18" i="21"/>
  <c r="AA18" i="21"/>
  <c r="AE17" i="21"/>
  <c r="AF17" i="21"/>
  <c r="AD17" i="21"/>
  <c r="AB17" i="21"/>
  <c r="AC17" i="21"/>
  <c r="AA17" i="21"/>
  <c r="AE16" i="21"/>
  <c r="AF16" i="21"/>
  <c r="AD16" i="21"/>
  <c r="AB16" i="21"/>
  <c r="AC16" i="21"/>
  <c r="AA16" i="21"/>
  <c r="AF15" i="21"/>
  <c r="AB15" i="21"/>
  <c r="AC15" i="21"/>
  <c r="AA15" i="21"/>
  <c r="AB11" i="21"/>
  <c r="AC11" i="21"/>
  <c r="AB9" i="21"/>
  <c r="AC9" i="21"/>
  <c r="AA9" i="21"/>
  <c r="AB8" i="21"/>
  <c r="AC8" i="21"/>
  <c r="AA8" i="21"/>
  <c r="AB7" i="21"/>
  <c r="AA7" i="21"/>
  <c r="AB6" i="21"/>
  <c r="AA6" i="21"/>
  <c r="AB5" i="21"/>
  <c r="AC5" i="21"/>
  <c r="AA5" i="21"/>
  <c r="AD28" i="21"/>
  <c r="AM24" i="21"/>
  <c r="AN24" i="21"/>
  <c r="AL24" i="21"/>
  <c r="AM22" i="21"/>
  <c r="AN22" i="21"/>
  <c r="AL22" i="21"/>
  <c r="AD15" i="21"/>
  <c r="AE15" i="21"/>
  <c r="AB10" i="21"/>
  <c r="AJ10" i="21" s="1"/>
  <c r="AK10" i="21"/>
  <c r="AA10" i="21"/>
  <c r="AI10" i="21" s="1"/>
  <c r="P33" i="6"/>
  <c r="Q33" i="6"/>
  <c r="O33" i="6"/>
  <c r="Q33" i="5"/>
  <c r="P33" i="5"/>
  <c r="O33" i="5"/>
  <c r="P33" i="32"/>
  <c r="O33" i="32"/>
  <c r="Q32" i="32"/>
  <c r="O33" i="2"/>
  <c r="AD5" i="21"/>
  <c r="AE30" i="21" l="1"/>
  <c r="AE29" i="21"/>
  <c r="G23" i="23" s="1"/>
  <c r="AE6" i="21"/>
  <c r="AM6" i="21" s="1"/>
  <c r="AE8" i="21"/>
  <c r="AM8" i="21" s="1"/>
  <c r="AE9" i="21"/>
  <c r="AD7" i="21"/>
  <c r="AC6" i="21"/>
  <c r="AK6" i="21" s="1"/>
  <c r="AE7" i="21"/>
  <c r="AM7" i="21" s="1"/>
  <c r="AD9" i="21"/>
  <c r="AC7" i="21"/>
  <c r="AK7" i="21" s="1"/>
  <c r="AF8" i="21"/>
  <c r="AN8" i="21" s="1"/>
  <c r="AD6" i="21"/>
  <c r="AL6" i="21" s="1"/>
  <c r="AD8" i="21"/>
  <c r="AF9" i="21"/>
  <c r="AF10" i="21"/>
  <c r="AN10" i="21" s="1"/>
  <c r="Q33" i="2"/>
  <c r="Q33" i="32"/>
  <c r="AE10" i="21"/>
  <c r="AM10" i="21" s="1"/>
  <c r="AD10" i="21"/>
  <c r="AL10" i="21" s="1"/>
  <c r="AI5" i="21"/>
  <c r="AI7" i="21"/>
  <c r="AJ8" i="21"/>
  <c r="AJ16" i="21"/>
  <c r="AI17" i="21"/>
  <c r="AN17" i="21"/>
  <c r="AJ18" i="21"/>
  <c r="AK5" i="21"/>
  <c r="AL8" i="21"/>
  <c r="AL16" i="21"/>
  <c r="AK17" i="21"/>
  <c r="AM17" i="21"/>
  <c r="AL18" i="21"/>
  <c r="AJ5" i="21"/>
  <c r="AJ7" i="21"/>
  <c r="AI8" i="21"/>
  <c r="AI16" i="21"/>
  <c r="AN16" i="21"/>
  <c r="AJ17" i="21"/>
  <c r="AI18" i="21"/>
  <c r="AN18" i="21"/>
  <c r="AL5" i="21"/>
  <c r="AL7" i="21"/>
  <c r="AK8" i="21"/>
  <c r="AK16" i="21"/>
  <c r="AM16" i="21"/>
  <c r="AL17" i="21"/>
  <c r="AK18" i="21"/>
  <c r="AM18" i="21"/>
  <c r="AI28" i="21"/>
  <c r="AL28" i="21"/>
  <c r="AK28" i="21"/>
  <c r="AN15" i="21"/>
  <c r="AK15" i="21"/>
  <c r="AM15" i="21"/>
  <c r="AJ15" i="21"/>
  <c r="AL15" i="21"/>
  <c r="AI15" i="21"/>
  <c r="AL26" i="21"/>
  <c r="AM26" i="21"/>
  <c r="AN26" i="21"/>
  <c r="AK26" i="21"/>
  <c r="AJ26" i="21"/>
  <c r="AI26" i="21"/>
  <c r="AJ25" i="21"/>
  <c r="AN25" i="21"/>
  <c r="AM25" i="21"/>
  <c r="AK25" i="21"/>
  <c r="AL25" i="21"/>
  <c r="AI25" i="21"/>
  <c r="AN23" i="21"/>
  <c r="AM23" i="21"/>
  <c r="AJ23" i="21"/>
  <c r="AK23" i="21"/>
  <c r="AL23" i="21"/>
  <c r="AI23" i="21"/>
  <c r="AN12" i="21"/>
  <c r="AK12" i="21"/>
  <c r="AM12" i="21"/>
  <c r="AJ12" i="21"/>
  <c r="AL12" i="21"/>
  <c r="AI12" i="21"/>
  <c r="AM11" i="21"/>
  <c r="AK11" i="21"/>
  <c r="AJ11" i="21"/>
  <c r="AI11" i="21"/>
  <c r="AJ6" i="21"/>
  <c r="AJ19" i="21"/>
  <c r="AL19" i="21"/>
  <c r="AI6" i="21"/>
  <c r="AI19" i="21"/>
  <c r="AN19" i="21"/>
  <c r="AK19" i="21"/>
  <c r="AM19" i="21"/>
  <c r="AI9" i="21"/>
  <c r="AN9" i="21"/>
  <c r="AK27" i="21"/>
  <c r="AK9" i="21"/>
  <c r="AM9" i="21"/>
  <c r="AM13" i="21"/>
  <c r="AJ27" i="21"/>
  <c r="AI13" i="21"/>
  <c r="AM27" i="21"/>
  <c r="AJ9" i="21"/>
  <c r="AJ13" i="21"/>
  <c r="AL27" i="21"/>
  <c r="AL9" i="21"/>
  <c r="AL13" i="21"/>
  <c r="AI27" i="21"/>
  <c r="AN27" i="21"/>
  <c r="AF28" i="21"/>
  <c r="O32" i="26"/>
  <c r="P32" i="26"/>
  <c r="P33" i="26" s="1"/>
  <c r="Q32" i="26"/>
  <c r="Q33" i="26" s="1"/>
  <c r="AE5" i="21"/>
  <c r="Q33" i="1"/>
  <c r="AC4" i="21"/>
  <c r="Q32" i="8"/>
  <c r="Q33" i="8" s="1"/>
  <c r="P32" i="8"/>
  <c r="P33" i="8" s="1"/>
  <c r="AF5" i="21" l="1"/>
  <c r="AF7" i="21"/>
  <c r="AN7" i="21" s="1"/>
  <c r="AF6" i="21"/>
  <c r="AN6" i="21" s="1"/>
  <c r="AD4" i="21"/>
  <c r="AD31" i="21" s="1"/>
  <c r="AD30" i="21"/>
  <c r="AA30" i="21"/>
  <c r="AA31" i="21"/>
  <c r="AN5" i="21"/>
  <c r="AM5" i="21"/>
  <c r="AN28" i="21"/>
  <c r="AN11" i="21"/>
  <c r="AL11" i="21"/>
  <c r="AK4" i="21"/>
  <c r="AL4" i="21"/>
  <c r="AD29" i="21"/>
  <c r="F23" i="23" s="1"/>
  <c r="AA29" i="21"/>
  <c r="C23" i="23" s="1"/>
  <c r="AB4" i="21"/>
  <c r="O32" i="8"/>
  <c r="O33" i="8" s="1"/>
  <c r="O33" i="26"/>
  <c r="AF4" i="21" l="1"/>
  <c r="AN4" i="21" s="1"/>
  <c r="AE4" i="21"/>
  <c r="AM4" i="21" s="1"/>
  <c r="AI29" i="21"/>
  <c r="AL29" i="21"/>
  <c r="AJ4" i="21"/>
  <c r="AR21" i="21"/>
  <c r="AV12" i="21"/>
  <c r="N7" i="21"/>
  <c r="H7" i="21"/>
  <c r="I7" i="21"/>
  <c r="J7" i="21"/>
  <c r="K7" i="21"/>
  <c r="G7" i="21"/>
  <c r="V27" i="21"/>
  <c r="U27" i="21"/>
  <c r="T27" i="21"/>
  <c r="S27" i="21"/>
  <c r="R27" i="21"/>
  <c r="Q27" i="21"/>
  <c r="N27" i="21"/>
  <c r="F35" i="23" l="1"/>
  <c r="C35" i="23"/>
  <c r="CC4" i="21"/>
  <c r="CG4" i="21"/>
  <c r="CE4" i="21"/>
  <c r="CD4" i="21"/>
  <c r="CG12" i="21"/>
  <c r="CF12" i="21"/>
  <c r="CE12" i="21"/>
  <c r="CD12" i="21"/>
  <c r="CC12" i="21"/>
  <c r="CB12" i="21"/>
  <c r="BB21" i="21"/>
  <c r="BA21" i="21"/>
  <c r="AY21" i="21"/>
  <c r="BC21" i="21"/>
  <c r="AZ21" i="21"/>
  <c r="BD21" i="21"/>
  <c r="CB4" i="21"/>
  <c r="AU4" i="21"/>
  <c r="V26" i="21"/>
  <c r="T26" i="21"/>
  <c r="R26" i="21"/>
  <c r="U20" i="21"/>
  <c r="S20" i="21"/>
  <c r="BU4" i="21" l="1"/>
  <c r="BZ4" i="21"/>
  <c r="BY4" i="21"/>
  <c r="BX4" i="21"/>
  <c r="BW4" i="21"/>
  <c r="BV4" i="21"/>
  <c r="Q20" i="21"/>
  <c r="V19" i="21"/>
  <c r="U19" i="21"/>
  <c r="T19" i="21"/>
  <c r="S19" i="21"/>
  <c r="R19" i="21"/>
  <c r="Q19" i="21"/>
  <c r="U18" i="21"/>
  <c r="S18" i="21"/>
  <c r="Q18" i="21"/>
  <c r="V17" i="21"/>
  <c r="U17" i="21"/>
  <c r="T17" i="21"/>
  <c r="S17" i="21"/>
  <c r="R17" i="21"/>
  <c r="Q17" i="21"/>
  <c r="V16" i="21"/>
  <c r="U16" i="21"/>
  <c r="T16" i="21"/>
  <c r="S16" i="21"/>
  <c r="R16" i="21"/>
  <c r="Q16" i="21"/>
  <c r="V15" i="21"/>
  <c r="T15" i="21"/>
  <c r="V14" i="21"/>
  <c r="T14" i="21"/>
  <c r="R14" i="21"/>
  <c r="S13" i="21"/>
  <c r="V12" i="21"/>
  <c r="T12" i="21"/>
  <c r="R12" i="21"/>
  <c r="V9" i="21"/>
  <c r="U9" i="21"/>
  <c r="T9" i="21"/>
  <c r="S9" i="21"/>
  <c r="R9" i="21"/>
  <c r="Q9" i="21"/>
  <c r="V8" i="21"/>
  <c r="U8" i="21"/>
  <c r="T8" i="21"/>
  <c r="S8" i="21"/>
  <c r="R8" i="21"/>
  <c r="Q8" i="21"/>
  <c r="V7" i="21"/>
  <c r="U7" i="21"/>
  <c r="T7" i="21"/>
  <c r="S7" i="21"/>
  <c r="R7" i="21"/>
  <c r="Q7" i="21"/>
  <c r="D43" i="32"/>
  <c r="C43" i="32"/>
  <c r="D42" i="32"/>
  <c r="C42" i="32"/>
  <c r="D41" i="32"/>
  <c r="C41" i="32"/>
  <c r="U6" i="21" l="1"/>
  <c r="S6" i="21"/>
  <c r="Q6" i="21"/>
  <c r="V5" i="21"/>
  <c r="U5" i="21"/>
  <c r="S5" i="21"/>
  <c r="R5" i="21"/>
  <c r="Q5" i="21"/>
  <c r="U4" i="21"/>
  <c r="S4" i="21"/>
  <c r="X4" i="21" s="1"/>
  <c r="AP4" i="21" s="1"/>
  <c r="D44" i="31" l="1"/>
  <c r="D44" i="29"/>
  <c r="C44" i="29"/>
  <c r="D43" i="29"/>
  <c r="C43" i="29"/>
  <c r="C42" i="29"/>
  <c r="D44" i="28"/>
  <c r="C44" i="28"/>
  <c r="D43" i="28"/>
  <c r="C43" i="28"/>
  <c r="D42" i="28"/>
  <c r="C42" i="28"/>
  <c r="D44" i="27"/>
  <c r="C44" i="27"/>
  <c r="D43" i="27"/>
  <c r="C43" i="27"/>
  <c r="D42" i="27"/>
  <c r="D44" i="26"/>
  <c r="C44" i="26"/>
  <c r="D43" i="26"/>
  <c r="C43" i="26"/>
  <c r="D42" i="26"/>
  <c r="C42" i="26"/>
  <c r="D44" i="24"/>
  <c r="C44" i="24"/>
  <c r="D43" i="24"/>
  <c r="C43" i="24"/>
  <c r="D42" i="24"/>
  <c r="C42" i="24"/>
  <c r="D43" i="11"/>
  <c r="C43" i="11"/>
  <c r="D42" i="11"/>
  <c r="C42" i="11"/>
  <c r="D41" i="11"/>
  <c r="C41" i="11"/>
  <c r="D44" i="10"/>
  <c r="C44" i="10"/>
  <c r="D43" i="10"/>
  <c r="C43" i="10"/>
  <c r="D42" i="10"/>
  <c r="C42" i="10"/>
  <c r="D42" i="8"/>
  <c r="C42" i="8"/>
  <c r="D41" i="8"/>
  <c r="C41" i="8"/>
  <c r="D40" i="8"/>
  <c r="C40" i="8"/>
  <c r="D42" i="6"/>
  <c r="C42" i="6"/>
  <c r="D41" i="6"/>
  <c r="C41" i="6"/>
  <c r="D40" i="6"/>
  <c r="C40" i="6"/>
  <c r="D42" i="5"/>
  <c r="C42" i="5"/>
  <c r="D41" i="5"/>
  <c r="C41" i="5"/>
  <c r="D40" i="5"/>
  <c r="C40" i="5"/>
  <c r="D44" i="1"/>
  <c r="C44" i="1"/>
  <c r="D43" i="1"/>
  <c r="C43" i="1"/>
  <c r="D42" i="1"/>
  <c r="C42" i="1"/>
  <c r="AV28" i="21"/>
  <c r="AU28" i="21"/>
  <c r="AT28" i="21"/>
  <c r="AS28" i="21"/>
  <c r="AR28" i="21"/>
  <c r="Y28" i="21"/>
  <c r="X28" i="21"/>
  <c r="AP28" i="21" s="1"/>
  <c r="W28" i="21"/>
  <c r="N28" i="21"/>
  <c r="DY28" i="21" s="1"/>
  <c r="K28" i="21"/>
  <c r="J28" i="21"/>
  <c r="I28" i="21"/>
  <c r="H28" i="21"/>
  <c r="G28" i="21"/>
  <c r="AV27" i="21"/>
  <c r="AU27" i="21"/>
  <c r="AT27" i="21"/>
  <c r="AS27" i="21"/>
  <c r="AR27" i="21"/>
  <c r="Y27" i="21"/>
  <c r="X27" i="21"/>
  <c r="AP27" i="21" s="1"/>
  <c r="W27" i="21"/>
  <c r="FK27" i="21" s="1"/>
  <c r="AV26" i="21"/>
  <c r="AU26" i="21"/>
  <c r="AT26" i="21"/>
  <c r="AS26" i="21"/>
  <c r="AR26" i="21"/>
  <c r="Y26" i="21"/>
  <c r="X26" i="21"/>
  <c r="AP26" i="21" s="1"/>
  <c r="FL26" i="21"/>
  <c r="N26" i="21"/>
  <c r="K26" i="21"/>
  <c r="J26" i="21"/>
  <c r="I26" i="21"/>
  <c r="H26" i="21"/>
  <c r="G26" i="21"/>
  <c r="AV25" i="21"/>
  <c r="AU25" i="21"/>
  <c r="AT25" i="21"/>
  <c r="AS25" i="21"/>
  <c r="AR25" i="21"/>
  <c r="V25" i="21"/>
  <c r="T25" i="21"/>
  <c r="R25" i="21"/>
  <c r="N25" i="21"/>
  <c r="K25" i="21"/>
  <c r="J25" i="21"/>
  <c r="I25" i="21"/>
  <c r="H25" i="21"/>
  <c r="G25" i="21"/>
  <c r="AV24" i="21"/>
  <c r="AU24" i="21"/>
  <c r="AT24" i="21"/>
  <c r="AS24" i="21"/>
  <c r="AR24" i="21"/>
  <c r="V24" i="21"/>
  <c r="U24" i="21"/>
  <c r="T24" i="21"/>
  <c r="S24" i="21"/>
  <c r="R24" i="21"/>
  <c r="Q24" i="21"/>
  <c r="N24" i="21"/>
  <c r="K24" i="21"/>
  <c r="J24" i="21"/>
  <c r="I24" i="21"/>
  <c r="H24" i="21"/>
  <c r="G24" i="21"/>
  <c r="AV23" i="21"/>
  <c r="AU23" i="21"/>
  <c r="AT23" i="21"/>
  <c r="AS23" i="21"/>
  <c r="AR23" i="21"/>
  <c r="V23" i="21"/>
  <c r="U23" i="21"/>
  <c r="T23" i="21"/>
  <c r="S23" i="21"/>
  <c r="R23" i="21"/>
  <c r="Q23" i="21"/>
  <c r="N23" i="21"/>
  <c r="K23" i="21"/>
  <c r="J23" i="21"/>
  <c r="I23" i="21"/>
  <c r="H23" i="21"/>
  <c r="G23" i="21"/>
  <c r="AV22" i="21"/>
  <c r="AU22" i="21"/>
  <c r="AT22" i="21"/>
  <c r="AS22" i="21"/>
  <c r="AR22" i="21"/>
  <c r="V22" i="21"/>
  <c r="U22" i="21"/>
  <c r="T22" i="21"/>
  <c r="S22" i="21"/>
  <c r="R22" i="21"/>
  <c r="Q22" i="21"/>
  <c r="N22" i="21"/>
  <c r="K22" i="21"/>
  <c r="J22" i="21"/>
  <c r="I22" i="21"/>
  <c r="H22" i="21"/>
  <c r="G22" i="21"/>
  <c r="AV21" i="21"/>
  <c r="AU21" i="21"/>
  <c r="AT21" i="21"/>
  <c r="AS21" i="21"/>
  <c r="V21" i="21"/>
  <c r="U21" i="21"/>
  <c r="T21" i="21"/>
  <c r="S21" i="21"/>
  <c r="R21" i="21"/>
  <c r="Q21" i="21"/>
  <c r="N21" i="21"/>
  <c r="K21" i="21"/>
  <c r="J21" i="21"/>
  <c r="I21" i="21"/>
  <c r="H21" i="21"/>
  <c r="G21" i="21"/>
  <c r="AV20" i="21"/>
  <c r="AU20" i="21"/>
  <c r="AT20" i="21"/>
  <c r="AS20" i="21"/>
  <c r="AR20" i="21"/>
  <c r="Y20" i="21"/>
  <c r="X20" i="21"/>
  <c r="AP20" i="21" s="1"/>
  <c r="W20" i="21"/>
  <c r="FM20" i="21" s="1"/>
  <c r="N20" i="21"/>
  <c r="K20" i="21"/>
  <c r="J20" i="21"/>
  <c r="I20" i="21"/>
  <c r="H20" i="21"/>
  <c r="G20" i="21"/>
  <c r="AV19" i="21"/>
  <c r="AU19" i="21"/>
  <c r="AT19" i="21"/>
  <c r="AS19" i="21"/>
  <c r="AR19" i="21"/>
  <c r="Y19" i="21"/>
  <c r="X19" i="21"/>
  <c r="AP19" i="21" s="1"/>
  <c r="W19" i="21"/>
  <c r="FN19" i="21" s="1"/>
  <c r="N19" i="21"/>
  <c r="K19" i="21"/>
  <c r="J19" i="21"/>
  <c r="I19" i="21"/>
  <c r="H19" i="21"/>
  <c r="G19" i="21"/>
  <c r="AV18" i="21"/>
  <c r="AU18" i="21"/>
  <c r="AT18" i="21"/>
  <c r="AS18" i="21"/>
  <c r="AR18" i="21"/>
  <c r="Y18" i="21"/>
  <c r="X18" i="21"/>
  <c r="AP18" i="21" s="1"/>
  <c r="W18" i="21"/>
  <c r="FN18" i="21" s="1"/>
  <c r="N18" i="21"/>
  <c r="K18" i="21"/>
  <c r="J18" i="21"/>
  <c r="I18" i="21"/>
  <c r="H18" i="21"/>
  <c r="G18" i="21"/>
  <c r="AV17" i="21"/>
  <c r="AU17" i="21"/>
  <c r="AT17" i="21"/>
  <c r="AS17" i="21"/>
  <c r="AR17" i="21"/>
  <c r="Y17" i="21"/>
  <c r="X17" i="21"/>
  <c r="AP17" i="21" s="1"/>
  <c r="W17" i="21"/>
  <c r="FN17" i="21" s="1"/>
  <c r="N17" i="21"/>
  <c r="K17" i="21"/>
  <c r="J17" i="21"/>
  <c r="I17" i="21"/>
  <c r="H17" i="21"/>
  <c r="G17" i="21"/>
  <c r="AV16" i="21"/>
  <c r="AU16" i="21"/>
  <c r="AT16" i="21"/>
  <c r="AS16" i="21"/>
  <c r="AR16" i="21"/>
  <c r="Y16" i="21"/>
  <c r="X16" i="21"/>
  <c r="AP16" i="21" s="1"/>
  <c r="W16" i="21"/>
  <c r="FO16" i="21" s="1"/>
  <c r="N16" i="21"/>
  <c r="K16" i="21"/>
  <c r="J16" i="21"/>
  <c r="I16" i="21"/>
  <c r="H16" i="21"/>
  <c r="G16" i="21"/>
  <c r="AV15" i="21"/>
  <c r="AU15" i="21"/>
  <c r="AT15" i="21"/>
  <c r="AS15" i="21"/>
  <c r="AR15" i="21"/>
  <c r="Y15" i="21"/>
  <c r="X15" i="21"/>
  <c r="AP15" i="21" s="1"/>
  <c r="W15" i="21"/>
  <c r="FN15" i="21" s="1"/>
  <c r="N15" i="21"/>
  <c r="K15" i="21"/>
  <c r="J15" i="21"/>
  <c r="I15" i="21"/>
  <c r="H15" i="21"/>
  <c r="G15" i="21"/>
  <c r="AV14" i="21"/>
  <c r="AU14" i="21"/>
  <c r="AT14" i="21"/>
  <c r="AS14" i="21"/>
  <c r="AR14" i="21"/>
  <c r="AY14" i="21" s="1"/>
  <c r="Y14" i="21"/>
  <c r="X14" i="21"/>
  <c r="AP14" i="21" s="1"/>
  <c r="W14" i="21"/>
  <c r="N14" i="21"/>
  <c r="K14" i="21"/>
  <c r="J14" i="21"/>
  <c r="I14" i="21"/>
  <c r="H14" i="21"/>
  <c r="G14" i="21"/>
  <c r="AV13" i="21"/>
  <c r="AU13" i="21"/>
  <c r="AT13" i="21"/>
  <c r="AS13" i="21"/>
  <c r="AR13" i="21"/>
  <c r="X13" i="21"/>
  <c r="AP13" i="21" s="1"/>
  <c r="W13" i="21"/>
  <c r="FN13" i="21" s="1"/>
  <c r="N13" i="21"/>
  <c r="K13" i="21"/>
  <c r="J13" i="21"/>
  <c r="I13" i="21"/>
  <c r="H13" i="21"/>
  <c r="G13" i="21"/>
  <c r="AU12" i="21"/>
  <c r="AT12" i="21"/>
  <c r="AS12" i="21"/>
  <c r="AR12" i="21"/>
  <c r="Y12" i="21"/>
  <c r="X12" i="21"/>
  <c r="AP12" i="21" s="1"/>
  <c r="W12" i="21"/>
  <c r="FK12" i="21" s="1"/>
  <c r="N12" i="21"/>
  <c r="K12" i="21"/>
  <c r="J12" i="21"/>
  <c r="I12" i="21"/>
  <c r="H12" i="21"/>
  <c r="G12" i="21"/>
  <c r="AV11" i="21"/>
  <c r="AU11" i="21"/>
  <c r="AT11" i="21"/>
  <c r="AS11" i="21"/>
  <c r="BG11" i="21" s="1"/>
  <c r="AR11" i="21"/>
  <c r="Y11" i="21"/>
  <c r="X11" i="21"/>
  <c r="AP11" i="21" s="1"/>
  <c r="W11" i="21"/>
  <c r="FN11" i="21" s="1"/>
  <c r="N11" i="21"/>
  <c r="K11" i="21"/>
  <c r="J11" i="21"/>
  <c r="I11" i="21"/>
  <c r="H11" i="21"/>
  <c r="G11" i="21"/>
  <c r="AU10" i="21"/>
  <c r="AT10" i="21"/>
  <c r="AS10" i="21"/>
  <c r="AR10" i="21"/>
  <c r="Y10" i="21"/>
  <c r="X10" i="21"/>
  <c r="AP10" i="21" s="1"/>
  <c r="W10" i="21"/>
  <c r="K10" i="21"/>
  <c r="J10" i="21"/>
  <c r="I10" i="21"/>
  <c r="H10" i="21"/>
  <c r="G10" i="21"/>
  <c r="AV9" i="21"/>
  <c r="AU9" i="21"/>
  <c r="AT9" i="21"/>
  <c r="BO9" i="21" s="1"/>
  <c r="AS9" i="21"/>
  <c r="AR9" i="21"/>
  <c r="Y9" i="21"/>
  <c r="X9" i="21"/>
  <c r="W9" i="21"/>
  <c r="FK9" i="21" s="1"/>
  <c r="N9" i="21"/>
  <c r="K9" i="21"/>
  <c r="J9" i="21"/>
  <c r="I9" i="21"/>
  <c r="H9" i="21"/>
  <c r="G9" i="21"/>
  <c r="AV8" i="21"/>
  <c r="AU8" i="21"/>
  <c r="AT8" i="21"/>
  <c r="AS8" i="21"/>
  <c r="AR8" i="21"/>
  <c r="Y8" i="21"/>
  <c r="X8" i="21"/>
  <c r="W8" i="21"/>
  <c r="FM8" i="21" s="1"/>
  <c r="N8" i="21"/>
  <c r="K8" i="21"/>
  <c r="J8" i="21"/>
  <c r="I8" i="21"/>
  <c r="H8" i="21"/>
  <c r="G8" i="21"/>
  <c r="AV7" i="21"/>
  <c r="AU7" i="21"/>
  <c r="AT7" i="21"/>
  <c r="AS7" i="21"/>
  <c r="AR7" i="21"/>
  <c r="Y7" i="21"/>
  <c r="X7" i="21"/>
  <c r="W7" i="21"/>
  <c r="FN7" i="21" s="1"/>
  <c r="AV6" i="21"/>
  <c r="AU6" i="21"/>
  <c r="AT6" i="21"/>
  <c r="AS6" i="21"/>
  <c r="AR6" i="21"/>
  <c r="Y6" i="21"/>
  <c r="X6" i="21"/>
  <c r="AP6" i="21" s="1"/>
  <c r="W6" i="21"/>
  <c r="FN6" i="21" s="1"/>
  <c r="N6" i="21"/>
  <c r="K6" i="21"/>
  <c r="J6" i="21"/>
  <c r="I6" i="21"/>
  <c r="H6" i="21"/>
  <c r="G6" i="21"/>
  <c r="AV5" i="21"/>
  <c r="AU5" i="21"/>
  <c r="AT5" i="21"/>
  <c r="AS5" i="21"/>
  <c r="AR5" i="21"/>
  <c r="Y5" i="21"/>
  <c r="X5" i="21"/>
  <c r="W5" i="21"/>
  <c r="FN5" i="21" s="1"/>
  <c r="N5" i="21"/>
  <c r="K5" i="21"/>
  <c r="J5" i="21"/>
  <c r="I5" i="21"/>
  <c r="H5" i="21"/>
  <c r="G5" i="21"/>
  <c r="AT4" i="21"/>
  <c r="AR4" i="21"/>
  <c r="Y4" i="21"/>
  <c r="N4" i="21"/>
  <c r="DY4" i="21" s="1"/>
  <c r="K4" i="21"/>
  <c r="J4" i="21"/>
  <c r="H4" i="21"/>
  <c r="G4" i="21"/>
  <c r="AV29" i="21" l="1"/>
  <c r="BG10" i="21"/>
  <c r="BH10" i="21"/>
  <c r="DU4" i="21"/>
  <c r="AY4" i="21"/>
  <c r="I30" i="21"/>
  <c r="N30" i="21"/>
  <c r="CB6" i="21"/>
  <c r="CC6" i="21"/>
  <c r="CG6" i="21"/>
  <c r="CD6" i="21"/>
  <c r="CE6" i="21"/>
  <c r="CF6" i="21"/>
  <c r="CB7" i="21"/>
  <c r="CD7" i="21"/>
  <c r="CC7" i="21"/>
  <c r="CG7" i="21"/>
  <c r="CF7" i="21"/>
  <c r="CE7" i="21"/>
  <c r="CE9" i="21"/>
  <c r="CD9" i="21"/>
  <c r="CB9" i="21"/>
  <c r="CF9" i="21"/>
  <c r="CC9" i="21"/>
  <c r="CG9" i="21"/>
  <c r="CE13" i="21"/>
  <c r="CB13" i="21"/>
  <c r="CF13" i="21"/>
  <c r="CD13" i="21"/>
  <c r="CC13" i="21"/>
  <c r="CG13" i="21"/>
  <c r="CG15" i="21"/>
  <c r="CF15" i="21"/>
  <c r="CF29" i="21" s="1"/>
  <c r="G19" i="23" s="1"/>
  <c r="CE15" i="21"/>
  <c r="CD15" i="21"/>
  <c r="CC15" i="21"/>
  <c r="CB15" i="21"/>
  <c r="CB17" i="21"/>
  <c r="CD17" i="21"/>
  <c r="CE17" i="21"/>
  <c r="CG17" i="21"/>
  <c r="CF17" i="21"/>
  <c r="CC17" i="21"/>
  <c r="CE19" i="21"/>
  <c r="CB19" i="21"/>
  <c r="CF19" i="21"/>
  <c r="CD19" i="21"/>
  <c r="CC19" i="21"/>
  <c r="CG19" i="21"/>
  <c r="CG23" i="21"/>
  <c r="CC23" i="21"/>
  <c r="CE23" i="21"/>
  <c r="CF23" i="21"/>
  <c r="CD23" i="21"/>
  <c r="CB23" i="21"/>
  <c r="CE28" i="21"/>
  <c r="CB28" i="21"/>
  <c r="CD28" i="21"/>
  <c r="CG28" i="21"/>
  <c r="CE24" i="21"/>
  <c r="CD24" i="21"/>
  <c r="CB24" i="21"/>
  <c r="CF24" i="21"/>
  <c r="CC24" i="21"/>
  <c r="CG24" i="21"/>
  <c r="CE26" i="21"/>
  <c r="CG26" i="21"/>
  <c r="CC26" i="21"/>
  <c r="CF26" i="21"/>
  <c r="CD26" i="21"/>
  <c r="CB26" i="21"/>
  <c r="AC13" i="21"/>
  <c r="BP13" i="21" s="1"/>
  <c r="CE5" i="21"/>
  <c r="CB5" i="21"/>
  <c r="CD5" i="21"/>
  <c r="CC5" i="21"/>
  <c r="CF5" i="21"/>
  <c r="CG5" i="21"/>
  <c r="CC8" i="21"/>
  <c r="CE8" i="21"/>
  <c r="CG8" i="21"/>
  <c r="CD8" i="21"/>
  <c r="CB8" i="21"/>
  <c r="CF8" i="21"/>
  <c r="CC10" i="21"/>
  <c r="CG10" i="21"/>
  <c r="CD10" i="21"/>
  <c r="CB10" i="21"/>
  <c r="CE10" i="21"/>
  <c r="CF10" i="21"/>
  <c r="CF11" i="21"/>
  <c r="CC11" i="21"/>
  <c r="CD11" i="21"/>
  <c r="CB11" i="21"/>
  <c r="CE11" i="21"/>
  <c r="CG11" i="21"/>
  <c r="CC14" i="21"/>
  <c r="CG14" i="21"/>
  <c r="CD14" i="21"/>
  <c r="CB14" i="21"/>
  <c r="CE14" i="21"/>
  <c r="CF14" i="21"/>
  <c r="CG16" i="21"/>
  <c r="CD16" i="21"/>
  <c r="CC16" i="21"/>
  <c r="CE16" i="21"/>
  <c r="CB16" i="21"/>
  <c r="CF16" i="21"/>
  <c r="CC18" i="21"/>
  <c r="CE18" i="21"/>
  <c r="CB18" i="21"/>
  <c r="CF18" i="21"/>
  <c r="CG18" i="21"/>
  <c r="CD18" i="21"/>
  <c r="CC20" i="21"/>
  <c r="CG20" i="21"/>
  <c r="CD20" i="21"/>
  <c r="CF20" i="21"/>
  <c r="CE20" i="21"/>
  <c r="CB20" i="21"/>
  <c r="CE21" i="21"/>
  <c r="CB21" i="21"/>
  <c r="CF21" i="21"/>
  <c r="CC21" i="21"/>
  <c r="CG21" i="21"/>
  <c r="CD21" i="21"/>
  <c r="CC27" i="21"/>
  <c r="CG27" i="21"/>
  <c r="CD27" i="21"/>
  <c r="CB27" i="21"/>
  <c r="CE27" i="21"/>
  <c r="CF27" i="21"/>
  <c r="CC22" i="21"/>
  <c r="CG22" i="21"/>
  <c r="CD22" i="21"/>
  <c r="CB22" i="21"/>
  <c r="CE22" i="21"/>
  <c r="CF22" i="21"/>
  <c r="CC25" i="21"/>
  <c r="CF25" i="21"/>
  <c r="CE25" i="21"/>
  <c r="CG25" i="21"/>
  <c r="CD25" i="21"/>
  <c r="CB25" i="21"/>
  <c r="AB28" i="21"/>
  <c r="AE28" i="21"/>
  <c r="ET13" i="21"/>
  <c r="BO13" i="21"/>
  <c r="BR13" i="21"/>
  <c r="BQ13" i="21"/>
  <c r="BN13" i="21"/>
  <c r="AZ14" i="21"/>
  <c r="BD14" i="21"/>
  <c r="BA14" i="21"/>
  <c r="BB14" i="21"/>
  <c r="BC14" i="21"/>
  <c r="ET15" i="21"/>
  <c r="BQ15" i="21"/>
  <c r="BP15" i="21"/>
  <c r="BR15" i="21"/>
  <c r="BS15" i="21"/>
  <c r="BN15" i="21"/>
  <c r="BO15" i="21"/>
  <c r="AZ16" i="21"/>
  <c r="BD16" i="21"/>
  <c r="BC16" i="21"/>
  <c r="BA16" i="21"/>
  <c r="BB16" i="21"/>
  <c r="AY16" i="21"/>
  <c r="AZ18" i="21"/>
  <c r="BD18" i="21"/>
  <c r="BC18" i="21"/>
  <c r="BA18" i="21"/>
  <c r="BB18" i="21"/>
  <c r="AY18" i="21"/>
  <c r="BQ23" i="21"/>
  <c r="BR23" i="21"/>
  <c r="BS23" i="21"/>
  <c r="BO23" i="21"/>
  <c r="BP23" i="21"/>
  <c r="BN23" i="21"/>
  <c r="EK5" i="21"/>
  <c r="BJ5" i="21"/>
  <c r="BG5" i="21"/>
  <c r="BK5" i="21"/>
  <c r="BH5" i="21"/>
  <c r="BL5" i="21"/>
  <c r="BI5" i="21"/>
  <c r="BV6" i="21"/>
  <c r="BX6" i="21"/>
  <c r="BW6" i="21"/>
  <c r="BZ6" i="21"/>
  <c r="BY6" i="21"/>
  <c r="BU6" i="21"/>
  <c r="EK8" i="21"/>
  <c r="BH8" i="21"/>
  <c r="BL8" i="21"/>
  <c r="BI8" i="21"/>
  <c r="BJ8" i="21"/>
  <c r="BG8" i="21"/>
  <c r="BK8" i="21"/>
  <c r="EV9" i="21"/>
  <c r="BW9" i="21"/>
  <c r="BX9" i="21"/>
  <c r="BU9" i="21"/>
  <c r="BY9" i="21"/>
  <c r="BV9" i="21"/>
  <c r="BZ9" i="21"/>
  <c r="BJ10" i="21"/>
  <c r="BI10" i="21"/>
  <c r="BK10" i="21"/>
  <c r="BL10" i="21"/>
  <c r="EK11" i="21"/>
  <c r="BH11" i="21"/>
  <c r="BL11" i="21"/>
  <c r="BI11" i="21"/>
  <c r="BJ11" i="21"/>
  <c r="BK11" i="21"/>
  <c r="BU12" i="21"/>
  <c r="BY12" i="21"/>
  <c r="BV12" i="21"/>
  <c r="BZ12" i="21"/>
  <c r="BW12" i="21"/>
  <c r="BX12" i="21"/>
  <c r="EX13" i="21"/>
  <c r="BW13" i="21"/>
  <c r="BX13" i="21"/>
  <c r="BU13" i="21"/>
  <c r="BY13" i="21"/>
  <c r="BV13" i="21"/>
  <c r="BZ13" i="21"/>
  <c r="BJ14" i="21"/>
  <c r="BG14" i="21"/>
  <c r="BK14" i="21"/>
  <c r="BH14" i="21"/>
  <c r="BL14" i="21"/>
  <c r="BI14" i="21"/>
  <c r="EX15" i="21"/>
  <c r="BW15" i="21"/>
  <c r="BX15" i="21"/>
  <c r="BU15" i="21"/>
  <c r="BY15" i="21"/>
  <c r="BZ15" i="21"/>
  <c r="BV15" i="21"/>
  <c r="EL16" i="21"/>
  <c r="BJ16" i="21"/>
  <c r="BG16" i="21"/>
  <c r="BK16" i="21"/>
  <c r="BH16" i="21"/>
  <c r="BL16" i="21"/>
  <c r="BI16" i="21"/>
  <c r="EZ17" i="21"/>
  <c r="BW17" i="21"/>
  <c r="BX17" i="21"/>
  <c r="BU17" i="21"/>
  <c r="BY17" i="21"/>
  <c r="BV17" i="21"/>
  <c r="BZ17" i="21"/>
  <c r="BJ18" i="21"/>
  <c r="BG18" i="21"/>
  <c r="BK18" i="21"/>
  <c r="BH18" i="21"/>
  <c r="BL18" i="21"/>
  <c r="BI18" i="21"/>
  <c r="FA19" i="21"/>
  <c r="BU19" i="21"/>
  <c r="BV19" i="21"/>
  <c r="BX19" i="21"/>
  <c r="BZ19" i="21"/>
  <c r="BY19" i="21"/>
  <c r="BW19" i="21"/>
  <c r="EL20" i="21"/>
  <c r="BJ20" i="21"/>
  <c r="BG20" i="21"/>
  <c r="BK20" i="21"/>
  <c r="BH20" i="21"/>
  <c r="BL20" i="21"/>
  <c r="BI20" i="21"/>
  <c r="EM21" i="21"/>
  <c r="BH21" i="21"/>
  <c r="BL21" i="21"/>
  <c r="BI21" i="21"/>
  <c r="BJ21" i="21"/>
  <c r="BK21" i="21"/>
  <c r="BG21" i="21"/>
  <c r="EE22" i="21"/>
  <c r="AZ22" i="21"/>
  <c r="BD22" i="21"/>
  <c r="BC22" i="21"/>
  <c r="BA22" i="21"/>
  <c r="BB22" i="21"/>
  <c r="AY22" i="21"/>
  <c r="FA23" i="21"/>
  <c r="BU23" i="21"/>
  <c r="BY23" i="21"/>
  <c r="BV23" i="21"/>
  <c r="BZ23" i="21"/>
  <c r="BW23" i="21"/>
  <c r="BX23" i="21"/>
  <c r="EO24" i="21"/>
  <c r="BR24" i="21"/>
  <c r="BS24" i="21"/>
  <c r="BP24" i="21"/>
  <c r="BN24" i="21"/>
  <c r="BO24" i="21"/>
  <c r="BQ24" i="21"/>
  <c r="EJ25" i="21"/>
  <c r="BH25" i="21"/>
  <c r="BL25" i="21"/>
  <c r="BI25" i="21"/>
  <c r="BJ25" i="21"/>
  <c r="BG25" i="21"/>
  <c r="BK25" i="21"/>
  <c r="EZ26" i="21"/>
  <c r="BW26" i="21"/>
  <c r="BX26" i="21"/>
  <c r="BU26" i="21"/>
  <c r="BY26" i="21"/>
  <c r="BV26" i="21"/>
  <c r="BZ26" i="21"/>
  <c r="BP27" i="21"/>
  <c r="BO27" i="21"/>
  <c r="BR27" i="21"/>
  <c r="BQ27" i="21"/>
  <c r="BS27" i="21"/>
  <c r="BN27" i="21"/>
  <c r="EE28" i="21"/>
  <c r="AZ28" i="21"/>
  <c r="BD28" i="21"/>
  <c r="BC28" i="21"/>
  <c r="BA28" i="21"/>
  <c r="BB28" i="21"/>
  <c r="AY28" i="21"/>
  <c r="BB5" i="21"/>
  <c r="AY5" i="21"/>
  <c r="BC5" i="21"/>
  <c r="AZ5" i="21"/>
  <c r="BD5" i="21"/>
  <c r="BA5" i="21"/>
  <c r="ET7" i="21"/>
  <c r="BS7" i="21"/>
  <c r="BQ7" i="21"/>
  <c r="BR7" i="21"/>
  <c r="BN7" i="21"/>
  <c r="BO7" i="21"/>
  <c r="BP7" i="21"/>
  <c r="AZ8" i="21"/>
  <c r="BD8" i="21"/>
  <c r="BA8" i="21"/>
  <c r="BB8" i="21"/>
  <c r="AY8" i="21"/>
  <c r="BC8" i="21"/>
  <c r="ET9" i="21"/>
  <c r="BS9" i="21"/>
  <c r="BP9" i="21"/>
  <c r="DC29" i="21" s="1"/>
  <c r="G33" i="23" s="1"/>
  <c r="BN9" i="21"/>
  <c r="DA29" i="21" s="1"/>
  <c r="E33" i="23" s="1"/>
  <c r="BQ9" i="21"/>
  <c r="DD29" i="21" s="1"/>
  <c r="H33" i="23" s="1"/>
  <c r="BR9" i="21"/>
  <c r="AZ10" i="21"/>
  <c r="BD10" i="21"/>
  <c r="BA10" i="21"/>
  <c r="BB10" i="21"/>
  <c r="BC10" i="21"/>
  <c r="AY10" i="21"/>
  <c r="BB11" i="21"/>
  <c r="AY11" i="21"/>
  <c r="AZ11" i="21"/>
  <c r="BD11" i="21"/>
  <c r="BA11" i="21"/>
  <c r="BC11" i="21"/>
  <c r="ET12" i="21"/>
  <c r="BS12" i="21"/>
  <c r="BQ12" i="21"/>
  <c r="BN12" i="21"/>
  <c r="BO12" i="21"/>
  <c r="BP12" i="21"/>
  <c r="BR12" i="21"/>
  <c r="ET19" i="21"/>
  <c r="BQ19" i="21"/>
  <c r="BR19" i="21"/>
  <c r="BS19" i="21"/>
  <c r="BO19" i="21"/>
  <c r="BP19" i="21"/>
  <c r="BN19" i="21"/>
  <c r="EC20" i="21"/>
  <c r="AZ20" i="21"/>
  <c r="BD20" i="21"/>
  <c r="AY20" i="21"/>
  <c r="BA20" i="21"/>
  <c r="BB20" i="21"/>
  <c r="BC20" i="21"/>
  <c r="EY22" i="21"/>
  <c r="BW22" i="21"/>
  <c r="BX22" i="21"/>
  <c r="BU22" i="21"/>
  <c r="BY22" i="21"/>
  <c r="BV22" i="21"/>
  <c r="BZ22" i="21"/>
  <c r="ES26" i="21"/>
  <c r="BQ26" i="21"/>
  <c r="BR26" i="21"/>
  <c r="BN26" i="21"/>
  <c r="BS26" i="21"/>
  <c r="BO26" i="21"/>
  <c r="BP26" i="21"/>
  <c r="BH27" i="21"/>
  <c r="BL27" i="21"/>
  <c r="BI27" i="21"/>
  <c r="BJ27" i="21"/>
  <c r="BK27" i="21"/>
  <c r="BG27" i="21"/>
  <c r="FA28" i="21"/>
  <c r="BW28" i="21"/>
  <c r="BX28" i="21"/>
  <c r="BU28" i="21"/>
  <c r="BY28" i="21"/>
  <c r="BV28" i="21"/>
  <c r="BZ28" i="21"/>
  <c r="EY7" i="21"/>
  <c r="BW7" i="21"/>
  <c r="BX7" i="21"/>
  <c r="BU7" i="21"/>
  <c r="BY7" i="21"/>
  <c r="BZ7" i="21"/>
  <c r="BV7" i="21"/>
  <c r="ER4" i="21"/>
  <c r="BP4" i="21"/>
  <c r="BN4" i="21"/>
  <c r="BQ4" i="21"/>
  <c r="BR4" i="21"/>
  <c r="BS4" i="21"/>
  <c r="BO4" i="21"/>
  <c r="ET5" i="21"/>
  <c r="BQ5" i="21"/>
  <c r="BR5" i="21"/>
  <c r="BS5" i="21"/>
  <c r="BP5" i="21"/>
  <c r="BN5" i="21"/>
  <c r="BO5" i="21"/>
  <c r="AZ6" i="21"/>
  <c r="BD6" i="21"/>
  <c r="BA6" i="21"/>
  <c r="BB6" i="21"/>
  <c r="AY6" i="21"/>
  <c r="BC6" i="21"/>
  <c r="BB7" i="21"/>
  <c r="AY7" i="21"/>
  <c r="BC7" i="21"/>
  <c r="AZ7" i="21"/>
  <c r="BD7" i="21"/>
  <c r="BA7" i="21"/>
  <c r="ET8" i="21"/>
  <c r="BQ8" i="21"/>
  <c r="BR8" i="21"/>
  <c r="BO8" i="21"/>
  <c r="BS8" i="21"/>
  <c r="BP8" i="21"/>
  <c r="BN8" i="21"/>
  <c r="BB9" i="21"/>
  <c r="AY9" i="21"/>
  <c r="BC9" i="21"/>
  <c r="AZ9" i="21"/>
  <c r="BD9" i="21"/>
  <c r="BA9" i="21"/>
  <c r="ET10" i="21"/>
  <c r="BQ10" i="21"/>
  <c r="BR10" i="21"/>
  <c r="BS10" i="21"/>
  <c r="BP10" i="21"/>
  <c r="BN10" i="21"/>
  <c r="BO10" i="21"/>
  <c r="ET11" i="21"/>
  <c r="BR11" i="21"/>
  <c r="BS11" i="21"/>
  <c r="BN11" i="21"/>
  <c r="BQ11" i="21"/>
  <c r="BO11" i="21"/>
  <c r="BP11" i="21"/>
  <c r="AZ12" i="21"/>
  <c r="BD12" i="21"/>
  <c r="BB12" i="21"/>
  <c r="BA12" i="21"/>
  <c r="AY12" i="21"/>
  <c r="BC12" i="21"/>
  <c r="AZ13" i="21"/>
  <c r="BB13" i="21"/>
  <c r="BC13" i="21"/>
  <c r="AY13" i="21"/>
  <c r="BD13" i="21"/>
  <c r="BA13" i="21"/>
  <c r="ET14" i="21"/>
  <c r="BO14" i="21"/>
  <c r="BQ14" i="21"/>
  <c r="BP14" i="21"/>
  <c r="BR14" i="21"/>
  <c r="BS14" i="21"/>
  <c r="BN14" i="21"/>
  <c r="BB15" i="21"/>
  <c r="BA15" i="21"/>
  <c r="AY15" i="21"/>
  <c r="BC15" i="21"/>
  <c r="AZ15" i="21"/>
  <c r="BD15" i="21"/>
  <c r="ET16" i="21"/>
  <c r="BR16" i="21"/>
  <c r="BS16" i="21"/>
  <c r="BN16" i="21"/>
  <c r="BO16" i="21"/>
  <c r="BP16" i="21"/>
  <c r="BQ16" i="21"/>
  <c r="EC17" i="21"/>
  <c r="BB17" i="21"/>
  <c r="AY17" i="21"/>
  <c r="BC17" i="21"/>
  <c r="BA17" i="21"/>
  <c r="AZ17" i="21"/>
  <c r="BD17" i="21"/>
  <c r="ET18" i="21"/>
  <c r="BQ18" i="21"/>
  <c r="BR18" i="21"/>
  <c r="BN18" i="21"/>
  <c r="BO18" i="21"/>
  <c r="BP18" i="21"/>
  <c r="BS18" i="21"/>
  <c r="EC19" i="21"/>
  <c r="BB19" i="21"/>
  <c r="AY19" i="21"/>
  <c r="BC19" i="21"/>
  <c r="AZ19" i="21"/>
  <c r="BD19" i="21"/>
  <c r="BA19" i="21"/>
  <c r="FE19" i="21"/>
  <c r="ET20" i="21"/>
  <c r="BR20" i="21"/>
  <c r="BS20" i="21"/>
  <c r="BQ20" i="21"/>
  <c r="BP20" i="21"/>
  <c r="BN20" i="21"/>
  <c r="BO20" i="21"/>
  <c r="EO21" i="21"/>
  <c r="BS21" i="21"/>
  <c r="BQ21" i="21"/>
  <c r="BR21" i="21"/>
  <c r="BN21" i="21"/>
  <c r="BO21" i="21"/>
  <c r="BP21" i="21"/>
  <c r="EH22" i="21"/>
  <c r="BJ22" i="21"/>
  <c r="BG22" i="21"/>
  <c r="BK22" i="21"/>
  <c r="BH22" i="21"/>
  <c r="BL22" i="21"/>
  <c r="BI22" i="21"/>
  <c r="EA23" i="21"/>
  <c r="BB23" i="21"/>
  <c r="AY23" i="21"/>
  <c r="BC23" i="21"/>
  <c r="AZ23" i="21"/>
  <c r="BD23" i="21"/>
  <c r="BA23" i="21"/>
  <c r="BW24" i="21"/>
  <c r="BX24" i="21"/>
  <c r="BU24" i="21"/>
  <c r="BY24" i="21"/>
  <c r="BZ24" i="21"/>
  <c r="BV24" i="21"/>
  <c r="ES25" i="21"/>
  <c r="BS25" i="21"/>
  <c r="BQ25" i="21"/>
  <c r="BR25" i="21"/>
  <c r="BN25" i="21"/>
  <c r="BO25" i="21"/>
  <c r="BP25" i="21"/>
  <c r="ED26" i="21"/>
  <c r="AZ26" i="21"/>
  <c r="BD26" i="21"/>
  <c r="AY26" i="21"/>
  <c r="BA26" i="21"/>
  <c r="BB26" i="21"/>
  <c r="BC26" i="21"/>
  <c r="FA27" i="21"/>
  <c r="BU27" i="21"/>
  <c r="BY27" i="21"/>
  <c r="BV27" i="21"/>
  <c r="BZ27" i="21"/>
  <c r="BW27" i="21"/>
  <c r="BX27" i="21"/>
  <c r="BJ28" i="21"/>
  <c r="BG28" i="21"/>
  <c r="BK28" i="21"/>
  <c r="BH28" i="21"/>
  <c r="BL28" i="21"/>
  <c r="BI28" i="21"/>
  <c r="BC4" i="21"/>
  <c r="AZ4" i="21"/>
  <c r="BD4" i="21"/>
  <c r="BA4" i="21"/>
  <c r="BB4" i="21"/>
  <c r="ET6" i="21"/>
  <c r="BR6" i="21"/>
  <c r="BS6" i="21"/>
  <c r="BN6" i="21"/>
  <c r="BO6" i="21"/>
  <c r="BQ6" i="21"/>
  <c r="BP6" i="21"/>
  <c r="ET17" i="21"/>
  <c r="BS17" i="21"/>
  <c r="BQ17" i="21"/>
  <c r="BN17" i="21"/>
  <c r="BR17" i="21"/>
  <c r="BO17" i="21"/>
  <c r="BP17" i="21"/>
  <c r="EK24" i="21"/>
  <c r="BJ24" i="21"/>
  <c r="BG24" i="21"/>
  <c r="BK24" i="21"/>
  <c r="BH24" i="21"/>
  <c r="BL24" i="21"/>
  <c r="BI24" i="21"/>
  <c r="ED25" i="21"/>
  <c r="BB25" i="21"/>
  <c r="AY25" i="21"/>
  <c r="BC25" i="21"/>
  <c r="AZ25" i="21"/>
  <c r="BD25" i="21"/>
  <c r="BA25" i="21"/>
  <c r="BI4" i="21"/>
  <c r="BJ4" i="21"/>
  <c r="BK4" i="21"/>
  <c r="BH4" i="21"/>
  <c r="BL4" i="21"/>
  <c r="EY5" i="21"/>
  <c r="BU5" i="21"/>
  <c r="BY5" i="21"/>
  <c r="BV5" i="21"/>
  <c r="BZ5" i="21"/>
  <c r="BW5" i="21"/>
  <c r="BX5" i="21"/>
  <c r="EK6" i="21"/>
  <c r="BH6" i="21"/>
  <c r="BL6" i="21"/>
  <c r="BI6" i="21"/>
  <c r="BJ6" i="21"/>
  <c r="BG6" i="21"/>
  <c r="BK6" i="21"/>
  <c r="EK7" i="21"/>
  <c r="BJ7" i="21"/>
  <c r="BG7" i="21"/>
  <c r="BK7" i="21"/>
  <c r="BH7" i="21"/>
  <c r="BL7" i="21"/>
  <c r="BI7" i="21"/>
  <c r="EY8" i="21"/>
  <c r="BU8" i="21"/>
  <c r="BY8" i="21"/>
  <c r="BV8" i="21"/>
  <c r="BZ8" i="21"/>
  <c r="BW8" i="21"/>
  <c r="BX8" i="21"/>
  <c r="EL9" i="21"/>
  <c r="BJ9" i="21"/>
  <c r="BG9" i="21"/>
  <c r="BK9" i="21"/>
  <c r="BH9" i="21"/>
  <c r="BL9" i="21"/>
  <c r="BI9" i="21"/>
  <c r="EY10" i="21"/>
  <c r="BU10" i="21"/>
  <c r="CS29" i="21" s="1"/>
  <c r="D37" i="23" s="1"/>
  <c r="D34" i="23" s="1"/>
  <c r="BY10" i="21"/>
  <c r="CW29" i="21" s="1"/>
  <c r="H37" i="23" s="1"/>
  <c r="H34" i="23" s="1"/>
  <c r="BV10" i="21"/>
  <c r="CT29" i="21" s="1"/>
  <c r="E37" i="23" s="1"/>
  <c r="E34" i="23" s="1"/>
  <c r="BZ10" i="21"/>
  <c r="BW10" i="21"/>
  <c r="CU29" i="21" s="1"/>
  <c r="F37" i="23" s="1"/>
  <c r="F34" i="23" s="1"/>
  <c r="BX10" i="21"/>
  <c r="CV29" i="21" s="1"/>
  <c r="G37" i="23" s="1"/>
  <c r="G34" i="23" s="1"/>
  <c r="BW11" i="21"/>
  <c r="BX11" i="21"/>
  <c r="BU11" i="21"/>
  <c r="BY11" i="21"/>
  <c r="BV11" i="21"/>
  <c r="BZ11" i="21"/>
  <c r="BJ12" i="21"/>
  <c r="BG12" i="21"/>
  <c r="BK12" i="21"/>
  <c r="BH12" i="21"/>
  <c r="BL12" i="21"/>
  <c r="BI12" i="21"/>
  <c r="EK13" i="21"/>
  <c r="BH13" i="21"/>
  <c r="BL13" i="21"/>
  <c r="BI13" i="21"/>
  <c r="BJ13" i="21"/>
  <c r="BG13" i="21"/>
  <c r="BK13" i="21"/>
  <c r="EY14" i="21"/>
  <c r="BU14" i="21"/>
  <c r="BY14" i="21"/>
  <c r="BV14" i="21"/>
  <c r="BZ14" i="21"/>
  <c r="BW14" i="21"/>
  <c r="BX14" i="21"/>
  <c r="EK15" i="21"/>
  <c r="BH15" i="21"/>
  <c r="BL15" i="21"/>
  <c r="BI15" i="21"/>
  <c r="BJ15" i="21"/>
  <c r="BG15" i="21"/>
  <c r="BK15" i="21"/>
  <c r="EY16" i="21"/>
  <c r="BU16" i="21"/>
  <c r="BY16" i="21"/>
  <c r="BV16" i="21"/>
  <c r="BZ16" i="21"/>
  <c r="BW16" i="21"/>
  <c r="BX16" i="21"/>
  <c r="EK17" i="21"/>
  <c r="BH17" i="21"/>
  <c r="BL17" i="21"/>
  <c r="BI17" i="21"/>
  <c r="BJ17" i="21"/>
  <c r="BG17" i="21"/>
  <c r="BK17" i="21"/>
  <c r="EY18" i="21"/>
  <c r="BU18" i="21"/>
  <c r="BY18" i="21"/>
  <c r="BV18" i="21"/>
  <c r="BZ18" i="21"/>
  <c r="BW18" i="21"/>
  <c r="BX18" i="21"/>
  <c r="EH19" i="21"/>
  <c r="BH19" i="21"/>
  <c r="BL19" i="21"/>
  <c r="BI19" i="21"/>
  <c r="BJ19" i="21"/>
  <c r="BK19" i="21"/>
  <c r="BG19" i="21"/>
  <c r="EW20" i="21"/>
  <c r="BW20" i="21"/>
  <c r="BX20" i="21"/>
  <c r="BU20" i="21"/>
  <c r="BY20" i="21"/>
  <c r="BV20" i="21"/>
  <c r="BZ20" i="21"/>
  <c r="EZ21" i="21"/>
  <c r="BU21" i="21"/>
  <c r="BY21" i="21"/>
  <c r="BV21" i="21"/>
  <c r="BZ21" i="21"/>
  <c r="BW21" i="21"/>
  <c r="BX21" i="21"/>
  <c r="EO22" i="21"/>
  <c r="BQ22" i="21"/>
  <c r="BR22" i="21"/>
  <c r="BN22" i="21"/>
  <c r="BO22" i="21"/>
  <c r="BS22" i="21"/>
  <c r="BP22" i="21"/>
  <c r="EJ23" i="21"/>
  <c r="BH23" i="21"/>
  <c r="BL23" i="21"/>
  <c r="BI23" i="21"/>
  <c r="BJ23" i="21"/>
  <c r="BG23" i="21"/>
  <c r="BK23" i="21"/>
  <c r="EA24" i="21"/>
  <c r="AZ24" i="21"/>
  <c r="BD24" i="21"/>
  <c r="BC24" i="21"/>
  <c r="BA24" i="21"/>
  <c r="AY24" i="21"/>
  <c r="BB24" i="21"/>
  <c r="FA25" i="21"/>
  <c r="BU25" i="21"/>
  <c r="BY25" i="21"/>
  <c r="BV25" i="21"/>
  <c r="BZ25" i="21"/>
  <c r="BW25" i="21"/>
  <c r="BX25" i="21"/>
  <c r="EM26" i="21"/>
  <c r="BJ26" i="21"/>
  <c r="BG26" i="21"/>
  <c r="BK26" i="21"/>
  <c r="BH26" i="21"/>
  <c r="BL26" i="21"/>
  <c r="BI26" i="21"/>
  <c r="ED27" i="21"/>
  <c r="BB27" i="21"/>
  <c r="AY27" i="21"/>
  <c r="BC27" i="21"/>
  <c r="BA27" i="21"/>
  <c r="AZ27" i="21"/>
  <c r="BD27" i="21"/>
  <c r="FF27" i="21"/>
  <c r="ES28" i="21"/>
  <c r="BQ28" i="21"/>
  <c r="BR28" i="21"/>
  <c r="BS28" i="21"/>
  <c r="BO28" i="21"/>
  <c r="BP28" i="21"/>
  <c r="BN28" i="21"/>
  <c r="EP13" i="21"/>
  <c r="DW13" i="21"/>
  <c r="G30" i="21"/>
  <c r="K30" i="21"/>
  <c r="U13" i="21"/>
  <c r="Y13" i="21" s="1"/>
  <c r="GA13" i="21" s="1"/>
  <c r="EV4" i="21"/>
  <c r="AP5" i="21"/>
  <c r="FU5" i="21"/>
  <c r="FR5" i="21"/>
  <c r="FT5" i="21"/>
  <c r="FS5" i="21"/>
  <c r="FT10" i="21"/>
  <c r="FU10" i="21"/>
  <c r="FR10" i="21"/>
  <c r="FS10" i="21"/>
  <c r="FS15" i="21"/>
  <c r="FU15" i="21"/>
  <c r="FT15" i="21"/>
  <c r="FR15" i="21"/>
  <c r="FU17" i="21"/>
  <c r="FR17" i="21"/>
  <c r="FT17" i="21"/>
  <c r="FS17" i="21"/>
  <c r="FZ28" i="21"/>
  <c r="FY28" i="21"/>
  <c r="GA28" i="21"/>
  <c r="FX28" i="21"/>
  <c r="H30" i="21"/>
  <c r="DX4" i="21"/>
  <c r="GA5" i="21"/>
  <c r="FZ5" i="21"/>
  <c r="FX5" i="21"/>
  <c r="FY5" i="21"/>
  <c r="FZ8" i="21"/>
  <c r="FY8" i="21"/>
  <c r="GA8" i="21"/>
  <c r="FX8" i="21"/>
  <c r="FX10" i="21"/>
  <c r="GA10" i="21"/>
  <c r="FY10" i="21"/>
  <c r="FZ10" i="21"/>
  <c r="FY11" i="21"/>
  <c r="FX11" i="21"/>
  <c r="FZ11" i="21"/>
  <c r="GA11" i="21"/>
  <c r="FY15" i="21"/>
  <c r="FX15" i="21"/>
  <c r="GA15" i="21"/>
  <c r="FZ15" i="21"/>
  <c r="GA17" i="21"/>
  <c r="FZ17" i="21"/>
  <c r="FY17" i="21"/>
  <c r="FX17" i="21"/>
  <c r="FY19" i="21"/>
  <c r="FX19" i="21"/>
  <c r="FZ19" i="21"/>
  <c r="GA19" i="21"/>
  <c r="FX26" i="21"/>
  <c r="GA26" i="21"/>
  <c r="FY26" i="21"/>
  <c r="FZ26" i="21"/>
  <c r="FS27" i="21"/>
  <c r="FU27" i="21"/>
  <c r="FR27" i="21"/>
  <c r="FT27" i="21"/>
  <c r="GA4" i="21"/>
  <c r="FZ4" i="21"/>
  <c r="FX4" i="21"/>
  <c r="FY4" i="21"/>
  <c r="FS11" i="21"/>
  <c r="FU11" i="21"/>
  <c r="FR11" i="21"/>
  <c r="FT11" i="21"/>
  <c r="FU13" i="21"/>
  <c r="FR13" i="21"/>
  <c r="FT13" i="21"/>
  <c r="FS13" i="21"/>
  <c r="FS19" i="21"/>
  <c r="FU19" i="21"/>
  <c r="FT19" i="21"/>
  <c r="FR19" i="21"/>
  <c r="FT26" i="21"/>
  <c r="FU26" i="21"/>
  <c r="FR26" i="21"/>
  <c r="FS26" i="21"/>
  <c r="FN4" i="21"/>
  <c r="FU6" i="21"/>
  <c r="FR6" i="21"/>
  <c r="FT6" i="21"/>
  <c r="FS6" i="21"/>
  <c r="FS7" i="21"/>
  <c r="AP7" i="21"/>
  <c r="FU7" i="21"/>
  <c r="FR7" i="21"/>
  <c r="FT7" i="21"/>
  <c r="AP9" i="21"/>
  <c r="FU9" i="21"/>
  <c r="FR9" i="21"/>
  <c r="FS9" i="21"/>
  <c r="FT9" i="21"/>
  <c r="FT12" i="21"/>
  <c r="FS12" i="21"/>
  <c r="FU12" i="21"/>
  <c r="FR12" i="21"/>
  <c r="FU14" i="21"/>
  <c r="FR14" i="21"/>
  <c r="FT14" i="21"/>
  <c r="FS14" i="21"/>
  <c r="FT16" i="21"/>
  <c r="FS16" i="21"/>
  <c r="FR16" i="21"/>
  <c r="FU16" i="21"/>
  <c r="FT18" i="21"/>
  <c r="FU18" i="21"/>
  <c r="FR18" i="21"/>
  <c r="FS18" i="21"/>
  <c r="FT20" i="21"/>
  <c r="FS20" i="21"/>
  <c r="FU20" i="21"/>
  <c r="FR20" i="21"/>
  <c r="FY27" i="21"/>
  <c r="FX27" i="21"/>
  <c r="GA27" i="21"/>
  <c r="FZ27" i="21"/>
  <c r="FT8" i="21"/>
  <c r="AP8" i="21"/>
  <c r="FS8" i="21"/>
  <c r="FU8" i="21"/>
  <c r="FR8" i="21"/>
  <c r="J30" i="21"/>
  <c r="FU4" i="21"/>
  <c r="FR4" i="21"/>
  <c r="FT4" i="21"/>
  <c r="FQ4" i="21"/>
  <c r="FS4" i="21"/>
  <c r="FX6" i="21"/>
  <c r="GA6" i="21"/>
  <c r="FZ6" i="21"/>
  <c r="FY6" i="21"/>
  <c r="FY7" i="21"/>
  <c r="FX7" i="21"/>
  <c r="GA7" i="21"/>
  <c r="FZ7" i="21"/>
  <c r="GA9" i="21"/>
  <c r="FZ9" i="21"/>
  <c r="FY9" i="21"/>
  <c r="FX9" i="21"/>
  <c r="FZ12" i="21"/>
  <c r="FY12" i="21"/>
  <c r="FX12" i="21"/>
  <c r="GA12" i="21"/>
  <c r="FX14" i="21"/>
  <c r="GA14" i="21"/>
  <c r="FZ14" i="21"/>
  <c r="FY14" i="21"/>
  <c r="FZ16" i="21"/>
  <c r="FY16" i="21"/>
  <c r="GA16" i="21"/>
  <c r="FX16" i="21"/>
  <c r="FX18" i="21"/>
  <c r="GA18" i="21"/>
  <c r="FY18" i="21"/>
  <c r="FZ18" i="21"/>
  <c r="FZ20" i="21"/>
  <c r="FY20" i="21"/>
  <c r="GA20" i="21"/>
  <c r="FX20" i="21"/>
  <c r="FT28" i="21"/>
  <c r="FS28" i="21"/>
  <c r="FU28" i="21"/>
  <c r="FR28" i="21"/>
  <c r="X25" i="21"/>
  <c r="FC28" i="21"/>
  <c r="FO8" i="21"/>
  <c r="FM17" i="21"/>
  <c r="EV6" i="21"/>
  <c r="EX19" i="21"/>
  <c r="FO19" i="21"/>
  <c r="FG22" i="21"/>
  <c r="DX9" i="21"/>
  <c r="FO15" i="21"/>
  <c r="EJ22" i="21"/>
  <c r="W24" i="21"/>
  <c r="FO24" i="21" s="1"/>
  <c r="Y24" i="21"/>
  <c r="AS29" i="21"/>
  <c r="DX12" i="21"/>
  <c r="FO17" i="21"/>
  <c r="EJ21" i="21"/>
  <c r="DX25" i="21"/>
  <c r="EL26" i="21"/>
  <c r="FW27" i="21"/>
  <c r="FO7" i="21"/>
  <c r="FG25" i="21"/>
  <c r="EX4" i="21"/>
  <c r="EQ12" i="21"/>
  <c r="EW19" i="21"/>
  <c r="X22" i="21"/>
  <c r="X23" i="21"/>
  <c r="AP23" i="21" s="1"/>
  <c r="W25" i="21"/>
  <c r="FK25" i="21" s="1"/>
  <c r="Y25" i="21"/>
  <c r="FW25" i="21" s="1"/>
  <c r="EV25" i="21"/>
  <c r="FM26" i="21"/>
  <c r="EZ12" i="21"/>
  <c r="FW4" i="21"/>
  <c r="EZ6" i="21"/>
  <c r="FK11" i="21"/>
  <c r="DX14" i="21"/>
  <c r="EJ15" i="21"/>
  <c r="EX16" i="21"/>
  <c r="EL17" i="21"/>
  <c r="EJ19" i="21"/>
  <c r="EX20" i="21"/>
  <c r="X24" i="21"/>
  <c r="AP24" i="21" s="1"/>
  <c r="EH5" i="21"/>
  <c r="EJ5" i="21"/>
  <c r="FM11" i="21"/>
  <c r="FK13" i="21"/>
  <c r="EX14" i="21"/>
  <c r="DX16" i="21"/>
  <c r="EZ16" i="21"/>
  <c r="EX17" i="21"/>
  <c r="EW18" i="21"/>
  <c r="EV19" i="21"/>
  <c r="DX20" i="21"/>
  <c r="FC23" i="21"/>
  <c r="EZ23" i="21"/>
  <c r="ES24" i="21"/>
  <c r="EX25" i="21"/>
  <c r="DX26" i="21"/>
  <c r="EX26" i="21"/>
  <c r="DX27" i="21"/>
  <c r="EO28" i="21"/>
  <c r="EZ4" i="21"/>
  <c r="FK5" i="21"/>
  <c r="DX6" i="21"/>
  <c r="FW6" i="21"/>
  <c r="EJ7" i="21"/>
  <c r="DX8" i="21"/>
  <c r="EH9" i="21"/>
  <c r="EX10" i="21"/>
  <c r="EH11" i="21"/>
  <c r="EY12" i="21"/>
  <c r="EH13" i="21"/>
  <c r="FM13" i="21"/>
  <c r="EZ14" i="21"/>
  <c r="FK15" i="21"/>
  <c r="DX17" i="21"/>
  <c r="EX18" i="21"/>
  <c r="EZ19" i="21"/>
  <c r="FC22" i="21"/>
  <c r="EV22" i="21"/>
  <c r="EH23" i="21"/>
  <c r="FC24" i="21"/>
  <c r="EH25" i="21"/>
  <c r="EA26" i="21"/>
  <c r="EX27" i="21"/>
  <c r="FO5" i="21"/>
  <c r="EZ7" i="21"/>
  <c r="EX23" i="21"/>
  <c r="FM5" i="21"/>
  <c r="EQ6" i="21"/>
  <c r="EX7" i="21"/>
  <c r="EH8" i="21"/>
  <c r="EZ10" i="21"/>
  <c r="EQ11" i="21"/>
  <c r="FW12" i="21"/>
  <c r="EJ13" i="21"/>
  <c r="FO13" i="21"/>
  <c r="DU14" i="21"/>
  <c r="FW14" i="21"/>
  <c r="EH15" i="21"/>
  <c r="FM15" i="21"/>
  <c r="EW16" i="21"/>
  <c r="FK19" i="21"/>
  <c r="EQ20" i="21"/>
  <c r="EH21" i="21"/>
  <c r="DX22" i="21"/>
  <c r="EX22" i="21"/>
  <c r="EH24" i="21"/>
  <c r="EJ26" i="21"/>
  <c r="FK26" i="21"/>
  <c r="EZ27" i="21"/>
  <c r="EZ28" i="21"/>
  <c r="DV6" i="21"/>
  <c r="EQ8" i="21"/>
  <c r="EY11" i="21"/>
  <c r="EZ11" i="21"/>
  <c r="EX11" i="21"/>
  <c r="FW11" i="21"/>
  <c r="EK12" i="21"/>
  <c r="EJ12" i="21"/>
  <c r="EH12" i="21"/>
  <c r="FN14" i="21"/>
  <c r="FO14" i="21"/>
  <c r="FM14" i="21"/>
  <c r="EK14" i="21"/>
  <c r="EJ14" i="21"/>
  <c r="EH14" i="21"/>
  <c r="DV14" i="21"/>
  <c r="EK18" i="21"/>
  <c r="EH18" i="21"/>
  <c r="DV18" i="21"/>
  <c r="EY24" i="21"/>
  <c r="EX24" i="21"/>
  <c r="DX24" i="21"/>
  <c r="EV24" i="21"/>
  <c r="EM27" i="21"/>
  <c r="EL27" i="21"/>
  <c r="DV27" i="21"/>
  <c r="EM28" i="21"/>
  <c r="EL28" i="21"/>
  <c r="EJ28" i="21"/>
  <c r="FK4" i="21"/>
  <c r="EX5" i="21"/>
  <c r="EH6" i="21"/>
  <c r="FM6" i="21"/>
  <c r="DV7" i="21"/>
  <c r="EL7" i="21"/>
  <c r="FW8" i="21"/>
  <c r="EV8" i="21"/>
  <c r="EY9" i="21"/>
  <c r="EX9" i="21"/>
  <c r="EZ9" i="21"/>
  <c r="FW9" i="21"/>
  <c r="FN10" i="21"/>
  <c r="FM10" i="21"/>
  <c r="FK10" i="21"/>
  <c r="EK10" i="21"/>
  <c r="EH10" i="21"/>
  <c r="DV10" i="21"/>
  <c r="EJ18" i="21"/>
  <c r="FK18" i="21"/>
  <c r="EH4" i="21"/>
  <c r="FM4" i="21"/>
  <c r="DV5" i="21"/>
  <c r="EL5" i="21"/>
  <c r="EZ5" i="21"/>
  <c r="EY6" i="21"/>
  <c r="EJ6" i="21"/>
  <c r="EX6" i="21"/>
  <c r="FO6" i="21"/>
  <c r="DX7" i="21"/>
  <c r="EQ7" i="21"/>
  <c r="FK7" i="21"/>
  <c r="FW7" i="21"/>
  <c r="EJ8" i="21"/>
  <c r="EX8" i="21"/>
  <c r="EJ10" i="21"/>
  <c r="FO10" i="21"/>
  <c r="DX11" i="21"/>
  <c r="EL14" i="21"/>
  <c r="FK14" i="21"/>
  <c r="FW15" i="21"/>
  <c r="EY15" i="21"/>
  <c r="DX15" i="21"/>
  <c r="EZ15" i="21"/>
  <c r="EV15" i="21"/>
  <c r="EQ16" i="21"/>
  <c r="FW17" i="21"/>
  <c r="EY17" i="21"/>
  <c r="EW17" i="21"/>
  <c r="FA17" i="21"/>
  <c r="EV17" i="21"/>
  <c r="EL18" i="21"/>
  <c r="FO18" i="21"/>
  <c r="EK20" i="21"/>
  <c r="EH20" i="21"/>
  <c r="EK22" i="21"/>
  <c r="EL22" i="21"/>
  <c r="DV22" i="21"/>
  <c r="EZ24" i="21"/>
  <c r="FW26" i="21"/>
  <c r="FA26" i="21"/>
  <c r="EV26" i="21"/>
  <c r="EH27" i="21"/>
  <c r="EH28" i="21"/>
  <c r="DV4" i="21"/>
  <c r="EL4" i="21"/>
  <c r="EV5" i="21"/>
  <c r="FK6" i="21"/>
  <c r="FN12" i="21"/>
  <c r="FO12" i="21"/>
  <c r="FM12" i="21"/>
  <c r="DV12" i="21"/>
  <c r="FL27" i="21"/>
  <c r="FO27" i="21"/>
  <c r="FL28" i="21"/>
  <c r="FK28" i="21"/>
  <c r="DV28" i="21"/>
  <c r="FO28" i="21"/>
  <c r="EQ4" i="21"/>
  <c r="EV11" i="21"/>
  <c r="EL12" i="21"/>
  <c r="EJ4" i="21"/>
  <c r="FO4" i="21"/>
  <c r="DX5" i="21"/>
  <c r="EQ5" i="21"/>
  <c r="FW5" i="21"/>
  <c r="EL6" i="21"/>
  <c r="EH7" i="21"/>
  <c r="EV7" i="21"/>
  <c r="FM7" i="21"/>
  <c r="FN8" i="21"/>
  <c r="FK8" i="21"/>
  <c r="DV8" i="21"/>
  <c r="EL8" i="21"/>
  <c r="EZ8" i="21"/>
  <c r="FN9" i="21"/>
  <c r="FO9" i="21"/>
  <c r="EK9" i="21"/>
  <c r="EJ9" i="21"/>
  <c r="DV9" i="21"/>
  <c r="EQ9" i="21"/>
  <c r="FM9" i="21"/>
  <c r="EL10" i="21"/>
  <c r="EY13" i="21"/>
  <c r="DX13" i="21"/>
  <c r="EZ13" i="21"/>
  <c r="EV13" i="21"/>
  <c r="EQ14" i="21"/>
  <c r="FN16" i="21"/>
  <c r="FM16" i="21"/>
  <c r="FK16" i="21"/>
  <c r="EK16" i="21"/>
  <c r="EJ16" i="21"/>
  <c r="EH16" i="21"/>
  <c r="DV16" i="21"/>
  <c r="EQ17" i="21"/>
  <c r="FE18" i="21"/>
  <c r="EK19" i="21"/>
  <c r="EL19" i="21"/>
  <c r="DV19" i="21"/>
  <c r="FA21" i="21"/>
  <c r="EV21" i="21"/>
  <c r="DX21" i="21"/>
  <c r="EX21" i="21"/>
  <c r="W22" i="21"/>
  <c r="FM22" i="21" s="1"/>
  <c r="Y22" i="21"/>
  <c r="EM23" i="21"/>
  <c r="EL23" i="21"/>
  <c r="DV23" i="21"/>
  <c r="EM25" i="21"/>
  <c r="EL25" i="21"/>
  <c r="DV25" i="21"/>
  <c r="FG26" i="21"/>
  <c r="EJ27" i="21"/>
  <c r="FM27" i="21"/>
  <c r="ED28" i="21"/>
  <c r="EA28" i="21"/>
  <c r="FF28" i="21"/>
  <c r="FG28" i="21"/>
  <c r="FM28" i="21"/>
  <c r="DX10" i="21"/>
  <c r="EQ10" i="21"/>
  <c r="FW10" i="21"/>
  <c r="EJ11" i="21"/>
  <c r="FO11" i="21"/>
  <c r="EV12" i="21"/>
  <c r="DV13" i="21"/>
  <c r="EL13" i="21"/>
  <c r="EV14" i="21"/>
  <c r="DV15" i="21"/>
  <c r="EL15" i="21"/>
  <c r="EV16" i="21"/>
  <c r="FW16" i="21"/>
  <c r="EH17" i="21"/>
  <c r="DX18" i="21"/>
  <c r="EQ18" i="21"/>
  <c r="EZ18" i="21"/>
  <c r="DX19" i="21"/>
  <c r="EV20" i="21"/>
  <c r="FW20" i="21"/>
  <c r="X21" i="21"/>
  <c r="AP21" i="21" s="1"/>
  <c r="DV21" i="21"/>
  <c r="EL21" i="21"/>
  <c r="EA22" i="21"/>
  <c r="EZ22" i="21"/>
  <c r="DX23" i="21"/>
  <c r="DV24" i="21"/>
  <c r="EJ24" i="21"/>
  <c r="EA25" i="21"/>
  <c r="EZ25" i="21"/>
  <c r="EE26" i="21"/>
  <c r="FC26" i="21"/>
  <c r="FO26" i="21"/>
  <c r="EA27" i="21"/>
  <c r="FC27" i="21"/>
  <c r="DX28" i="21"/>
  <c r="EV28" i="21"/>
  <c r="FW28" i="21"/>
  <c r="EV10" i="21"/>
  <c r="DV11" i="21"/>
  <c r="EL11" i="21"/>
  <c r="EX12" i="21"/>
  <c r="EQ13" i="21"/>
  <c r="EQ15" i="21"/>
  <c r="DV17" i="21"/>
  <c r="EJ17" i="21"/>
  <c r="FK17" i="21"/>
  <c r="EV18" i="21"/>
  <c r="FA18" i="21"/>
  <c r="FW18" i="21"/>
  <c r="EY19" i="21"/>
  <c r="EQ19" i="21"/>
  <c r="FW19" i="21"/>
  <c r="EV23" i="21"/>
  <c r="EL24" i="21"/>
  <c r="FF25" i="21"/>
  <c r="EE25" i="21"/>
  <c r="FC25" i="21"/>
  <c r="DV26" i="21"/>
  <c r="EH26" i="21"/>
  <c r="EE27" i="21"/>
  <c r="EV27" i="21"/>
  <c r="FG27" i="21"/>
  <c r="EX28" i="21"/>
  <c r="AU29" i="21"/>
  <c r="EF17" i="21"/>
  <c r="EB17" i="21"/>
  <c r="EE17" i="21"/>
  <c r="EA17" i="21"/>
  <c r="ED17" i="21"/>
  <c r="DU17" i="21"/>
  <c r="FH17" i="21"/>
  <c r="FD17" i="21"/>
  <c r="FG17" i="21"/>
  <c r="FC17" i="21"/>
  <c r="FF17" i="21"/>
  <c r="DY17" i="21"/>
  <c r="ER23" i="21"/>
  <c r="ET23" i="21"/>
  <c r="EP23" i="21"/>
  <c r="DW23" i="21"/>
  <c r="EO23" i="21"/>
  <c r="ES23" i="21"/>
  <c r="AR29" i="21"/>
  <c r="EF4" i="21"/>
  <c r="EB4" i="21"/>
  <c r="EE4" i="21"/>
  <c r="EA4" i="21"/>
  <c r="ED4" i="21"/>
  <c r="FH4" i="21"/>
  <c r="FD4" i="21"/>
  <c r="FG4" i="21"/>
  <c r="FC4" i="21"/>
  <c r="FF4" i="21"/>
  <c r="EF5" i="21"/>
  <c r="EB5" i="21"/>
  <c r="EE5" i="21"/>
  <c r="EA5" i="21"/>
  <c r="ED5" i="21"/>
  <c r="DU5" i="21"/>
  <c r="FH5" i="21"/>
  <c r="FD5" i="21"/>
  <c r="FG5" i="21"/>
  <c r="FC5" i="21"/>
  <c r="FF5" i="21"/>
  <c r="DY5" i="21"/>
  <c r="EF6" i="21"/>
  <c r="EB6" i="21"/>
  <c r="EE6" i="21"/>
  <c r="EA6" i="21"/>
  <c r="ED6" i="21"/>
  <c r="DU6" i="21"/>
  <c r="FH6" i="21"/>
  <c r="FD6" i="21"/>
  <c r="FG6" i="21"/>
  <c r="FC6" i="21"/>
  <c r="FF6" i="21"/>
  <c r="DY6" i="21"/>
  <c r="EF7" i="21"/>
  <c r="EB7" i="21"/>
  <c r="EE7" i="21"/>
  <c r="EA7" i="21"/>
  <c r="ED7" i="21"/>
  <c r="DU7" i="21"/>
  <c r="FH7" i="21"/>
  <c r="FD7" i="21"/>
  <c r="FG7" i="21"/>
  <c r="FC7" i="21"/>
  <c r="FF7" i="21"/>
  <c r="DY7" i="21"/>
  <c r="EF8" i="21"/>
  <c r="EB8" i="21"/>
  <c r="EE8" i="21"/>
  <c r="EA8" i="21"/>
  <c r="ED8" i="21"/>
  <c r="DU8" i="21"/>
  <c r="FH8" i="21"/>
  <c r="FD8" i="21"/>
  <c r="FG8" i="21"/>
  <c r="FC8" i="21"/>
  <c r="FF8" i="21"/>
  <c r="DY8" i="21"/>
  <c r="EF9" i="21"/>
  <c r="EB9" i="21"/>
  <c r="EE9" i="21"/>
  <c r="EA9" i="21"/>
  <c r="ED9" i="21"/>
  <c r="DU9" i="21"/>
  <c r="FH9" i="21"/>
  <c r="FD9" i="21"/>
  <c r="FG9" i="21"/>
  <c r="FC9" i="21"/>
  <c r="FF9" i="21"/>
  <c r="DY9" i="21"/>
  <c r="EF10" i="21"/>
  <c r="EB10" i="21"/>
  <c r="EE10" i="21"/>
  <c r="EA10" i="21"/>
  <c r="ED10" i="21"/>
  <c r="DU10" i="21"/>
  <c r="FH10" i="21"/>
  <c r="FD10" i="21"/>
  <c r="FG10" i="21"/>
  <c r="FC10" i="21"/>
  <c r="FF10" i="21"/>
  <c r="DY10" i="21"/>
  <c r="EF11" i="21"/>
  <c r="EB11" i="21"/>
  <c r="EE11" i="21"/>
  <c r="EA11" i="21"/>
  <c r="ED11" i="21"/>
  <c r="DU11" i="21"/>
  <c r="FH11" i="21"/>
  <c r="FD11" i="21"/>
  <c r="FG11" i="21"/>
  <c r="FC11" i="21"/>
  <c r="FF11" i="21"/>
  <c r="DY11" i="21"/>
  <c r="EF12" i="21"/>
  <c r="EB12" i="21"/>
  <c r="EE12" i="21"/>
  <c r="EA12" i="21"/>
  <c r="ED12" i="21"/>
  <c r="DU12" i="21"/>
  <c r="FH12" i="21"/>
  <c r="FD12" i="21"/>
  <c r="FG12" i="21"/>
  <c r="FC12" i="21"/>
  <c r="FF12" i="21"/>
  <c r="DY12" i="21"/>
  <c r="EF13" i="21"/>
  <c r="EB13" i="21"/>
  <c r="EE13" i="21"/>
  <c r="EA13" i="21"/>
  <c r="ED13" i="21"/>
  <c r="DU13" i="21"/>
  <c r="FH13" i="21"/>
  <c r="FD13" i="21"/>
  <c r="FG13" i="21"/>
  <c r="FC13" i="21"/>
  <c r="FF13" i="21"/>
  <c r="DY13" i="21"/>
  <c r="EF14" i="21"/>
  <c r="EB14" i="21"/>
  <c r="EE14" i="21"/>
  <c r="EA14" i="21"/>
  <c r="ED14" i="21"/>
  <c r="FH14" i="21"/>
  <c r="FD14" i="21"/>
  <c r="FG14" i="21"/>
  <c r="FC14" i="21"/>
  <c r="FF14" i="21"/>
  <c r="DY14" i="21"/>
  <c r="EF15" i="21"/>
  <c r="EB15" i="21"/>
  <c r="EE15" i="21"/>
  <c r="EA15" i="21"/>
  <c r="ED15" i="21"/>
  <c r="DU15" i="21"/>
  <c r="FH15" i="21"/>
  <c r="FD15" i="21"/>
  <c r="FG15" i="21"/>
  <c r="FC15" i="21"/>
  <c r="FF15" i="21"/>
  <c r="DY15" i="21"/>
  <c r="EF16" i="21"/>
  <c r="EB16" i="21"/>
  <c r="EE16" i="21"/>
  <c r="EA16" i="21"/>
  <c r="ED16" i="21"/>
  <c r="DU16" i="21"/>
  <c r="FH16" i="21"/>
  <c r="FD16" i="21"/>
  <c r="FG16" i="21"/>
  <c r="FC16" i="21"/>
  <c r="FF16" i="21"/>
  <c r="DY16" i="21"/>
  <c r="FE16" i="21"/>
  <c r="EF18" i="21"/>
  <c r="EB18" i="21"/>
  <c r="EE18" i="21"/>
  <c r="EA18" i="21"/>
  <c r="ED18" i="21"/>
  <c r="DU18" i="21"/>
  <c r="FH18" i="21"/>
  <c r="FD18" i="21"/>
  <c r="FG18" i="21"/>
  <c r="FC18" i="21"/>
  <c r="FF18" i="21"/>
  <c r="DY18" i="21"/>
  <c r="ED21" i="21"/>
  <c r="DU21" i="21"/>
  <c r="EF21" i="21"/>
  <c r="EB21" i="21"/>
  <c r="EA21" i="21"/>
  <c r="EE21" i="21"/>
  <c r="FF21" i="21"/>
  <c r="DY21" i="21"/>
  <c r="FH21" i="21"/>
  <c r="FD21" i="21"/>
  <c r="FC21" i="21"/>
  <c r="FG21" i="21"/>
  <c r="FE17" i="21"/>
  <c r="EF19" i="21"/>
  <c r="EB19" i="21"/>
  <c r="EE19" i="21"/>
  <c r="EA19" i="21"/>
  <c r="ED19" i="21"/>
  <c r="DU19" i="21"/>
  <c r="FH19" i="21"/>
  <c r="FD19" i="21"/>
  <c r="FG19" i="21"/>
  <c r="FC19" i="21"/>
  <c r="FF19" i="21"/>
  <c r="DY19" i="21"/>
  <c r="EF20" i="21"/>
  <c r="EB20" i="21"/>
  <c r="EE20" i="21"/>
  <c r="EA20" i="21"/>
  <c r="ED20" i="21"/>
  <c r="DU20" i="21"/>
  <c r="FH20" i="21"/>
  <c r="FD20" i="21"/>
  <c r="FF20" i="21"/>
  <c r="FG20" i="21"/>
  <c r="FE20" i="21"/>
  <c r="DY20" i="21"/>
  <c r="FE21" i="21"/>
  <c r="EQ23" i="21"/>
  <c r="EC4" i="21"/>
  <c r="FE4" i="21"/>
  <c r="EC5" i="21"/>
  <c r="FE5" i="21"/>
  <c r="EC6" i="21"/>
  <c r="FE6" i="21"/>
  <c r="EC7" i="21"/>
  <c r="FE7" i="21"/>
  <c r="EC8" i="21"/>
  <c r="FE8" i="21"/>
  <c r="EC9" i="21"/>
  <c r="FE9" i="21"/>
  <c r="EC10" i="21"/>
  <c r="FE10" i="21"/>
  <c r="EC11" i="21"/>
  <c r="FE11" i="21"/>
  <c r="EC12" i="21"/>
  <c r="FE12" i="21"/>
  <c r="EC13" i="21"/>
  <c r="FE13" i="21"/>
  <c r="EC14" i="21"/>
  <c r="FE14" i="21"/>
  <c r="EC15" i="21"/>
  <c r="FE15" i="21"/>
  <c r="EC16" i="21"/>
  <c r="EC18" i="21"/>
  <c r="FC20" i="21"/>
  <c r="EC21" i="21"/>
  <c r="FQ27" i="21"/>
  <c r="ER27" i="21"/>
  <c r="EQ27" i="21"/>
  <c r="ET27" i="21"/>
  <c r="EP27" i="21"/>
  <c r="DW27" i="21"/>
  <c r="ES27" i="21"/>
  <c r="EO27" i="21"/>
  <c r="EI4" i="21"/>
  <c r="EM4" i="21"/>
  <c r="EW4" i="21"/>
  <c r="FA4" i="21"/>
  <c r="FL4" i="21"/>
  <c r="EI5" i="21"/>
  <c r="EM5" i="21"/>
  <c r="ER5" i="21"/>
  <c r="EW5" i="21"/>
  <c r="FA5" i="21"/>
  <c r="FL5" i="21"/>
  <c r="FQ5" i="21"/>
  <c r="EI6" i="21"/>
  <c r="EM6" i="21"/>
  <c r="ER6" i="21"/>
  <c r="EW6" i="21"/>
  <c r="FA6" i="21"/>
  <c r="FL6" i="21"/>
  <c r="FQ6" i="21"/>
  <c r="EI7" i="21"/>
  <c r="EM7" i="21"/>
  <c r="ER7" i="21"/>
  <c r="EW7" i="21"/>
  <c r="FA7" i="21"/>
  <c r="FL7" i="21"/>
  <c r="FQ7" i="21"/>
  <c r="EI8" i="21"/>
  <c r="EM8" i="21"/>
  <c r="ER8" i="21"/>
  <c r="EW8" i="21"/>
  <c r="FA8" i="21"/>
  <c r="FL8" i="21"/>
  <c r="FQ8" i="21"/>
  <c r="EI9" i="21"/>
  <c r="EM9" i="21"/>
  <c r="ER9" i="21"/>
  <c r="EW9" i="21"/>
  <c r="FA9" i="21"/>
  <c r="FL9" i="21"/>
  <c r="FQ9" i="21"/>
  <c r="EI10" i="21"/>
  <c r="EM10" i="21"/>
  <c r="ER10" i="21"/>
  <c r="EW10" i="21"/>
  <c r="FA10" i="21"/>
  <c r="FL10" i="21"/>
  <c r="FQ10" i="21"/>
  <c r="EI11" i="21"/>
  <c r="EM11" i="21"/>
  <c r="ER11" i="21"/>
  <c r="EW11" i="21"/>
  <c r="FA11" i="21"/>
  <c r="FL11" i="21"/>
  <c r="FQ11" i="21"/>
  <c r="EI12" i="21"/>
  <c r="EM12" i="21"/>
  <c r="ER12" i="21"/>
  <c r="EW12" i="21"/>
  <c r="FA12" i="21"/>
  <c r="FL12" i="21"/>
  <c r="FQ12" i="21"/>
  <c r="EI13" i="21"/>
  <c r="EM13" i="21"/>
  <c r="ER13" i="21"/>
  <c r="EW13" i="21"/>
  <c r="FA13" i="21"/>
  <c r="FL13" i="21"/>
  <c r="FQ13" i="21"/>
  <c r="EI14" i="21"/>
  <c r="EM14" i="21"/>
  <c r="ER14" i="21"/>
  <c r="EW14" i="21"/>
  <c r="FA14" i="21"/>
  <c r="FL14" i="21"/>
  <c r="FQ14" i="21"/>
  <c r="EI15" i="21"/>
  <c r="EM15" i="21"/>
  <c r="ER15" i="21"/>
  <c r="EW15" i="21"/>
  <c r="FA15" i="21"/>
  <c r="FL15" i="21"/>
  <c r="FQ15" i="21"/>
  <c r="EI16" i="21"/>
  <c r="EM16" i="21"/>
  <c r="ER16" i="21"/>
  <c r="FA16" i="21"/>
  <c r="FL16" i="21"/>
  <c r="FQ16" i="21"/>
  <c r="EI17" i="21"/>
  <c r="EM17" i="21"/>
  <c r="ER17" i="21"/>
  <c r="FL17" i="21"/>
  <c r="FQ17" i="21"/>
  <c r="EI18" i="21"/>
  <c r="EM18" i="21"/>
  <c r="ER18" i="21"/>
  <c r="FL18" i="21"/>
  <c r="FQ18" i="21"/>
  <c r="EI19" i="21"/>
  <c r="EM19" i="21"/>
  <c r="ER19" i="21"/>
  <c r="FL19" i="21"/>
  <c r="FQ19" i="21"/>
  <c r="FN20" i="21"/>
  <c r="FL20" i="21"/>
  <c r="EI20" i="21"/>
  <c r="EM20" i="21"/>
  <c r="ER20" i="21"/>
  <c r="FO20" i="21"/>
  <c r="W21" i="21"/>
  <c r="Y21" i="21"/>
  <c r="ET22" i="21"/>
  <c r="EP22" i="21"/>
  <c r="DW22" i="21"/>
  <c r="ER22" i="21"/>
  <c r="EQ22" i="21"/>
  <c r="EF24" i="21"/>
  <c r="EB24" i="21"/>
  <c r="ED24" i="21"/>
  <c r="DU24" i="21"/>
  <c r="FH24" i="21"/>
  <c r="FD24" i="21"/>
  <c r="FF24" i="21"/>
  <c r="DY24" i="21"/>
  <c r="EC24" i="21"/>
  <c r="FE24" i="21"/>
  <c r="ER25" i="21"/>
  <c r="EQ25" i="21"/>
  <c r="ET25" i="21"/>
  <c r="EP25" i="21"/>
  <c r="DW25" i="21"/>
  <c r="FQ26" i="21"/>
  <c r="ER26" i="21"/>
  <c r="EQ26" i="21"/>
  <c r="ET26" i="21"/>
  <c r="EP26" i="21"/>
  <c r="DW26" i="21"/>
  <c r="AT29" i="21"/>
  <c r="EO4" i="21"/>
  <c r="ES4" i="21"/>
  <c r="EO5" i="21"/>
  <c r="ES5" i="21"/>
  <c r="EO6" i="21"/>
  <c r="ES6" i="21"/>
  <c r="EO7" i="21"/>
  <c r="ES7" i="21"/>
  <c r="EO8" i="21"/>
  <c r="ES8" i="21"/>
  <c r="EO9" i="21"/>
  <c r="ES9" i="21"/>
  <c r="EO10" i="21"/>
  <c r="ES10" i="21"/>
  <c r="EO11" i="21"/>
  <c r="ES11" i="21"/>
  <c r="EO12" i="21"/>
  <c r="ES12" i="21"/>
  <c r="EO13" i="21"/>
  <c r="ES13" i="21"/>
  <c r="EO14" i="21"/>
  <c r="ES14" i="21"/>
  <c r="EO15" i="21"/>
  <c r="ES15" i="21"/>
  <c r="EO16" i="21"/>
  <c r="ES16" i="21"/>
  <c r="EO17" i="21"/>
  <c r="ES17" i="21"/>
  <c r="EO18" i="21"/>
  <c r="ES18" i="21"/>
  <c r="FM18" i="21"/>
  <c r="EO19" i="21"/>
  <c r="ES19" i="21"/>
  <c r="FM19" i="21"/>
  <c r="FQ20" i="21"/>
  <c r="DV20" i="21"/>
  <c r="EJ20" i="21"/>
  <c r="EO20" i="21"/>
  <c r="ES20" i="21"/>
  <c r="ER21" i="21"/>
  <c r="ET21" i="21"/>
  <c r="EP21" i="21"/>
  <c r="DW21" i="21"/>
  <c r="EQ21" i="21"/>
  <c r="ES22" i="21"/>
  <c r="ED23" i="21"/>
  <c r="DU23" i="21"/>
  <c r="EF23" i="21"/>
  <c r="EB23" i="21"/>
  <c r="FF23" i="21"/>
  <c r="DY23" i="21"/>
  <c r="FH23" i="21"/>
  <c r="FD23" i="21"/>
  <c r="EC23" i="21"/>
  <c r="FE23" i="21"/>
  <c r="EE24" i="21"/>
  <c r="FG24" i="21"/>
  <c r="DW4" i="21"/>
  <c r="EK4" i="21"/>
  <c r="EP4" i="21"/>
  <c r="ET4" i="21"/>
  <c r="EY4" i="21"/>
  <c r="DW5" i="21"/>
  <c r="EP5" i="21"/>
  <c r="DW6" i="21"/>
  <c r="EP6" i="21"/>
  <c r="DW7" i="21"/>
  <c r="EP7" i="21"/>
  <c r="DW8" i="21"/>
  <c r="EP8" i="21"/>
  <c r="DW9" i="21"/>
  <c r="EP9" i="21"/>
  <c r="DW10" i="21"/>
  <c r="EP10" i="21"/>
  <c r="DW11" i="21"/>
  <c r="EP11" i="21"/>
  <c r="DW12" i="21"/>
  <c r="EP12" i="21"/>
  <c r="DW14" i="21"/>
  <c r="EP14" i="21"/>
  <c r="DW15" i="21"/>
  <c r="EP15" i="21"/>
  <c r="DW16" i="21"/>
  <c r="EP16" i="21"/>
  <c r="DW17" i="21"/>
  <c r="EP17" i="21"/>
  <c r="DW18" i="21"/>
  <c r="EP18" i="21"/>
  <c r="DW19" i="21"/>
  <c r="EP19" i="21"/>
  <c r="EY20" i="21"/>
  <c r="FA20" i="21"/>
  <c r="DW20" i="21"/>
  <c r="EP20" i="21"/>
  <c r="EZ20" i="21"/>
  <c r="FK20" i="21"/>
  <c r="ES21" i="21"/>
  <c r="EF22" i="21"/>
  <c r="EB22" i="21"/>
  <c r="ED22" i="21"/>
  <c r="DU22" i="21"/>
  <c r="FH22" i="21"/>
  <c r="FD22" i="21"/>
  <c r="FF22" i="21"/>
  <c r="DY22" i="21"/>
  <c r="EC22" i="21"/>
  <c r="FE22" i="21"/>
  <c r="W23" i="21"/>
  <c r="Y23" i="21"/>
  <c r="EE23" i="21"/>
  <c r="FG23" i="21"/>
  <c r="ET24" i="21"/>
  <c r="EP24" i="21"/>
  <c r="DW24" i="21"/>
  <c r="ER24" i="21"/>
  <c r="EQ24" i="21"/>
  <c r="EO25" i="21"/>
  <c r="FF26" i="21"/>
  <c r="EO26" i="21"/>
  <c r="FQ28" i="21"/>
  <c r="ER28" i="21"/>
  <c r="EQ28" i="21"/>
  <c r="ET28" i="21"/>
  <c r="EP28" i="21"/>
  <c r="DW28" i="21"/>
  <c r="EK21" i="21"/>
  <c r="EY21" i="21"/>
  <c r="EI22" i="21"/>
  <c r="EM22" i="21"/>
  <c r="EW22" i="21"/>
  <c r="FA22" i="21"/>
  <c r="EK23" i="21"/>
  <c r="EY23" i="21"/>
  <c r="EI24" i="21"/>
  <c r="EM24" i="21"/>
  <c r="EW24" i="21"/>
  <c r="FA24" i="21"/>
  <c r="EB25" i="21"/>
  <c r="EF25" i="21"/>
  <c r="EK25" i="21"/>
  <c r="EY25" i="21"/>
  <c r="FD25" i="21"/>
  <c r="FH25" i="21"/>
  <c r="EB26" i="21"/>
  <c r="EF26" i="21"/>
  <c r="EK26" i="21"/>
  <c r="EY26" i="21"/>
  <c r="FD26" i="21"/>
  <c r="FH26" i="21"/>
  <c r="FN26" i="21"/>
  <c r="EB27" i="21"/>
  <c r="EF27" i="21"/>
  <c r="EK27" i="21"/>
  <c r="EY27" i="21"/>
  <c r="FD27" i="21"/>
  <c r="FH27" i="21"/>
  <c r="FN27" i="21"/>
  <c r="EB28" i="21"/>
  <c r="EF28" i="21"/>
  <c r="EK28" i="21"/>
  <c r="EY28" i="21"/>
  <c r="FD28" i="21"/>
  <c r="FH28" i="21"/>
  <c r="FN28" i="21"/>
  <c r="EC25" i="21"/>
  <c r="FE25" i="21"/>
  <c r="EC26" i="21"/>
  <c r="FE26" i="21"/>
  <c r="EC27" i="21"/>
  <c r="FE27" i="21"/>
  <c r="EC28" i="21"/>
  <c r="FE28" i="21"/>
  <c r="EI21" i="21"/>
  <c r="EW21" i="21"/>
  <c r="EI23" i="21"/>
  <c r="EW23" i="21"/>
  <c r="DU25" i="21"/>
  <c r="DY25" i="21"/>
  <c r="EI25" i="21"/>
  <c r="EW25" i="21"/>
  <c r="DU26" i="21"/>
  <c r="DY26" i="21"/>
  <c r="EI26" i="21"/>
  <c r="EW26" i="21"/>
  <c r="DU27" i="21"/>
  <c r="DY27" i="21"/>
  <c r="EI27" i="21"/>
  <c r="EW27" i="21"/>
  <c r="DU28" i="21"/>
  <c r="EI28" i="21"/>
  <c r="EW28" i="21"/>
  <c r="EQ29" i="21" l="1"/>
  <c r="BH29" i="21"/>
  <c r="FC29" i="21"/>
  <c r="AF13" i="21"/>
  <c r="BS13" i="21" s="1"/>
  <c r="BS29" i="21" s="1"/>
  <c r="H21" i="23" s="1"/>
  <c r="W30" i="21"/>
  <c r="W31" i="21"/>
  <c r="X30" i="21"/>
  <c r="X31" i="21"/>
  <c r="AE31" i="21"/>
  <c r="Y31" i="21"/>
  <c r="AK13" i="21"/>
  <c r="AK29" i="21" s="1"/>
  <c r="AC30" i="21"/>
  <c r="AC29" i="21"/>
  <c r="E23" i="23" s="1"/>
  <c r="AC31" i="21"/>
  <c r="AB31" i="21"/>
  <c r="AB30" i="21"/>
  <c r="Y30" i="21"/>
  <c r="AF29" i="21"/>
  <c r="H23" i="23" s="1"/>
  <c r="DO29" i="21"/>
  <c r="E31" i="23" s="1"/>
  <c r="H31" i="23"/>
  <c r="DB29" i="21"/>
  <c r="F33" i="23" s="1"/>
  <c r="FQ22" i="21"/>
  <c r="AP22" i="21"/>
  <c r="DF29" i="21"/>
  <c r="C32" i="23" s="1"/>
  <c r="G31" i="23"/>
  <c r="DK29" i="21"/>
  <c r="H32" i="23" s="1"/>
  <c r="DI29" i="21"/>
  <c r="F32" i="23" s="1"/>
  <c r="DH29" i="21"/>
  <c r="E32" i="23" s="1"/>
  <c r="C31" i="23"/>
  <c r="CY29" i="21"/>
  <c r="C33" i="23" s="1"/>
  <c r="F31" i="23"/>
  <c r="DJ29" i="21"/>
  <c r="G32" i="23" s="1"/>
  <c r="FQ25" i="21"/>
  <c r="AP25" i="21"/>
  <c r="AM28" i="21"/>
  <c r="AM29" i="21" s="1"/>
  <c r="CF28" i="21"/>
  <c r="AJ28" i="21"/>
  <c r="AJ29" i="21" s="1"/>
  <c r="CC28" i="21"/>
  <c r="CC29" i="21" s="1"/>
  <c r="D19" i="23" s="1"/>
  <c r="AB29" i="21"/>
  <c r="D23" i="23" s="1"/>
  <c r="AZ29" i="21"/>
  <c r="D26" i="23" s="1"/>
  <c r="D22" i="23" s="1"/>
  <c r="BU29" i="21"/>
  <c r="C20" i="23" s="1"/>
  <c r="BK29" i="21"/>
  <c r="G25" i="23" s="1"/>
  <c r="BJ29" i="21"/>
  <c r="F25" i="23" s="1"/>
  <c r="F22" i="23" s="1"/>
  <c r="BZ29" i="21"/>
  <c r="H20" i="23" s="1"/>
  <c r="AY29" i="21"/>
  <c r="C26" i="23" s="1"/>
  <c r="BC29" i="21"/>
  <c r="G26" i="23" s="1"/>
  <c r="G22" i="23" s="1"/>
  <c r="CG29" i="21"/>
  <c r="H19" i="23" s="1"/>
  <c r="CE29" i="21"/>
  <c r="F19" i="23" s="1"/>
  <c r="BR29" i="21"/>
  <c r="G21" i="23" s="1"/>
  <c r="BG29" i="21"/>
  <c r="C25" i="23" s="1"/>
  <c r="C22" i="23" s="1"/>
  <c r="CB29" i="21"/>
  <c r="C19" i="23" s="1"/>
  <c r="BN29" i="21"/>
  <c r="C21" i="23" s="1"/>
  <c r="BV29" i="21"/>
  <c r="D20" i="23" s="1"/>
  <c r="BA29" i="21"/>
  <c r="E26" i="23" s="1"/>
  <c r="BQ29" i="21"/>
  <c r="F21" i="23" s="1"/>
  <c r="D25" i="23"/>
  <c r="BW29" i="21"/>
  <c r="E20" i="23" s="1"/>
  <c r="BB29" i="21"/>
  <c r="F26" i="23" s="1"/>
  <c r="CD29" i="21"/>
  <c r="E19" i="23" s="1"/>
  <c r="BP29" i="21"/>
  <c r="E21" i="23" s="1"/>
  <c r="BX29" i="21"/>
  <c r="F20" i="23" s="1"/>
  <c r="BY29" i="21"/>
  <c r="G20" i="23" s="1"/>
  <c r="BD29" i="21"/>
  <c r="H26" i="23" s="1"/>
  <c r="BO29" i="21"/>
  <c r="D21" i="23" s="1"/>
  <c r="BL29" i="21"/>
  <c r="H25" i="23" s="1"/>
  <c r="BI29" i="21"/>
  <c r="E25" i="23" s="1"/>
  <c r="FL22" i="21"/>
  <c r="FW13" i="21"/>
  <c r="FY13" i="21"/>
  <c r="FX13" i="21"/>
  <c r="FZ13" i="21"/>
  <c r="W29" i="21"/>
  <c r="DX29" i="21"/>
  <c r="FY23" i="21"/>
  <c r="FX23" i="21"/>
  <c r="GA23" i="21"/>
  <c r="FZ23" i="21"/>
  <c r="DY29" i="21"/>
  <c r="FK22" i="21"/>
  <c r="FN24" i="21"/>
  <c r="FO22" i="21"/>
  <c r="FX22" i="21"/>
  <c r="GA22" i="21"/>
  <c r="FZ22" i="21"/>
  <c r="FY22" i="21"/>
  <c r="FZ24" i="21"/>
  <c r="FY24" i="21"/>
  <c r="FX24" i="21"/>
  <c r="GA24" i="21"/>
  <c r="FU25" i="21"/>
  <c r="FR25" i="21"/>
  <c r="FT25" i="21"/>
  <c r="FS25" i="21"/>
  <c r="FU21" i="21"/>
  <c r="FR21" i="21"/>
  <c r="FT21" i="21"/>
  <c r="FS21" i="21"/>
  <c r="FN22" i="21"/>
  <c r="FT24" i="21"/>
  <c r="FS24" i="21"/>
  <c r="FU24" i="21"/>
  <c r="FR24" i="21"/>
  <c r="FU22" i="21"/>
  <c r="FR22" i="21"/>
  <c r="FT22" i="21"/>
  <c r="FS22" i="21"/>
  <c r="FS23" i="21"/>
  <c r="FU23" i="21"/>
  <c r="FR23" i="21"/>
  <c r="FT23" i="21"/>
  <c r="GA21" i="21"/>
  <c r="FZ21" i="21"/>
  <c r="FX21" i="21"/>
  <c r="FY21" i="21"/>
  <c r="GA25" i="21"/>
  <c r="FZ25" i="21"/>
  <c r="FY25" i="21"/>
  <c r="FX25" i="21"/>
  <c r="X29" i="21"/>
  <c r="AP29" i="21" s="1"/>
  <c r="Y29" i="21"/>
  <c r="FO25" i="21"/>
  <c r="FW22" i="21"/>
  <c r="AW29" i="21"/>
  <c r="FW24" i="21"/>
  <c r="FM25" i="21"/>
  <c r="FL25" i="21"/>
  <c r="FN25" i="21"/>
  <c r="FK24" i="21"/>
  <c r="FQ21" i="21"/>
  <c r="FQ24" i="21"/>
  <c r="FM24" i="21"/>
  <c r="FL24" i="21"/>
  <c r="EL29" i="21"/>
  <c r="FQ23" i="21"/>
  <c r="EY29" i="21"/>
  <c r="EV29" i="21"/>
  <c r="EX29" i="21"/>
  <c r="EZ29" i="21"/>
  <c r="EJ29" i="21"/>
  <c r="DV29" i="21"/>
  <c r="EH29" i="21"/>
  <c r="ER29" i="21"/>
  <c r="DW29" i="21"/>
  <c r="EO29" i="21"/>
  <c r="EE29" i="21"/>
  <c r="FW21" i="21"/>
  <c r="EM29" i="21"/>
  <c r="FG29" i="21"/>
  <c r="DU29" i="21"/>
  <c r="EB29" i="21"/>
  <c r="EW29" i="21"/>
  <c r="EC29" i="21"/>
  <c r="ET29" i="21"/>
  <c r="FW23" i="21"/>
  <c r="EP29" i="21"/>
  <c r="FL21" i="21"/>
  <c r="FL31" i="21" s="1"/>
  <c r="FL34" i="21" s="1"/>
  <c r="FN21" i="21"/>
  <c r="FM21" i="21"/>
  <c r="FK21" i="21"/>
  <c r="FO21" i="21"/>
  <c r="EI29" i="21"/>
  <c r="FE29" i="21"/>
  <c r="FD29" i="21"/>
  <c r="ED29" i="21"/>
  <c r="EF29" i="21"/>
  <c r="FL23" i="21"/>
  <c r="FN23" i="21"/>
  <c r="FO23" i="21"/>
  <c r="FM23" i="21"/>
  <c r="FK23" i="21"/>
  <c r="EK29" i="21"/>
  <c r="ES29" i="21"/>
  <c r="FA29" i="21"/>
  <c r="FF29" i="21"/>
  <c r="FH29" i="21"/>
  <c r="EA29" i="21"/>
  <c r="AN13" i="21" l="1"/>
  <c r="AN29" i="21" s="1"/>
  <c r="H35" i="23" s="1"/>
  <c r="FL30" i="21"/>
  <c r="AF31" i="21"/>
  <c r="AF30" i="21"/>
  <c r="E35" i="23"/>
  <c r="D35" i="23"/>
  <c r="G35" i="23"/>
  <c r="FU29" i="21"/>
  <c r="N44" i="23" s="1"/>
  <c r="H22" i="23"/>
  <c r="E22" i="23"/>
  <c r="FT29" i="21"/>
  <c r="M44" i="23" s="1"/>
  <c r="DZ29" i="21"/>
  <c r="FU30" i="21"/>
  <c r="FT31" i="21"/>
  <c r="FT34" i="21" s="1"/>
  <c r="FU31" i="21"/>
  <c r="FU34" i="21" s="1"/>
  <c r="H4" i="23"/>
  <c r="H10" i="23"/>
  <c r="H6" i="23"/>
  <c r="H5" i="23"/>
  <c r="H11" i="23"/>
  <c r="FK29" i="21"/>
  <c r="FS29" i="21"/>
  <c r="L44" i="23" s="1"/>
  <c r="FR31" i="21"/>
  <c r="FR30" i="21"/>
  <c r="D6" i="23"/>
  <c r="D5" i="23"/>
  <c r="C6" i="23"/>
  <c r="C11" i="23"/>
  <c r="G6" i="23"/>
  <c r="F11" i="23"/>
  <c r="D10" i="23"/>
  <c r="G4" i="23"/>
  <c r="G11" i="23"/>
  <c r="F6" i="23"/>
  <c r="C10" i="23"/>
  <c r="C7" i="23" s="1"/>
  <c r="F5" i="23"/>
  <c r="FR29" i="21"/>
  <c r="K44" i="23" s="1"/>
  <c r="F4" i="23"/>
  <c r="F10" i="23"/>
  <c r="D4" i="23"/>
  <c r="E11" i="23"/>
  <c r="D11" i="23"/>
  <c r="C4" i="23"/>
  <c r="G5" i="23"/>
  <c r="FS30" i="21"/>
  <c r="E5" i="23"/>
  <c r="C5" i="23"/>
  <c r="G10" i="23"/>
  <c r="FS31" i="21"/>
  <c r="FS34" i="21" s="1"/>
  <c r="E4" i="23"/>
  <c r="E6" i="23"/>
  <c r="E10" i="23"/>
  <c r="FZ30" i="21"/>
  <c r="FT30" i="21"/>
  <c r="FQ29" i="21"/>
  <c r="O44" i="23" s="1"/>
  <c r="FN29" i="21"/>
  <c r="FQ30" i="21"/>
  <c r="FQ31" i="21"/>
  <c r="FK31" i="21"/>
  <c r="FK34" i="21" s="1"/>
  <c r="FO30" i="21"/>
  <c r="FX30" i="21"/>
  <c r="S45" i="23" s="1"/>
  <c r="FN30" i="21"/>
  <c r="FN31" i="21"/>
  <c r="FN34" i="21" s="1"/>
  <c r="FK30" i="21"/>
  <c r="FK33" i="21" s="1"/>
  <c r="FM31" i="21"/>
  <c r="FM34" i="21" s="1"/>
  <c r="FZ31" i="21"/>
  <c r="FZ34" i="21" s="1"/>
  <c r="FX29" i="21"/>
  <c r="S44" i="23" s="1"/>
  <c r="FZ29" i="21"/>
  <c r="U44" i="23" s="1"/>
  <c r="FL29" i="21"/>
  <c r="FY31" i="21"/>
  <c r="FY34" i="21" s="1"/>
  <c r="FY29" i="21"/>
  <c r="T44" i="23" s="1"/>
  <c r="FY30" i="21"/>
  <c r="FO29" i="21"/>
  <c r="FO31" i="21"/>
  <c r="FO34" i="21" s="1"/>
  <c r="GA29" i="21"/>
  <c r="V44" i="23" s="1"/>
  <c r="GA30" i="21"/>
  <c r="GA31" i="21"/>
  <c r="GA34" i="21" s="1"/>
  <c r="FX31" i="21"/>
  <c r="FX34" i="21" s="1"/>
  <c r="FM30" i="21"/>
  <c r="FM29" i="21"/>
  <c r="FW31" i="21"/>
  <c r="FW34" i="21" s="1"/>
  <c r="FW30" i="21"/>
  <c r="FW29" i="21"/>
  <c r="W44" i="23" s="1"/>
  <c r="K46" i="23" l="1"/>
  <c r="FR34" i="21"/>
  <c r="O46" i="23"/>
  <c r="FQ34" i="21"/>
  <c r="G7" i="23"/>
  <c r="G8" i="23" s="1"/>
  <c r="G46" i="23"/>
  <c r="D44" i="23"/>
  <c r="D45" i="23"/>
  <c r="F44" i="23"/>
  <c r="E44" i="23"/>
  <c r="C44" i="23"/>
  <c r="C45" i="23"/>
  <c r="G44" i="23"/>
  <c r="V48" i="23"/>
  <c r="V46" i="23"/>
  <c r="GA33" i="21"/>
  <c r="V47" i="23" s="1"/>
  <c r="V45" i="23"/>
  <c r="U48" i="23"/>
  <c r="U46" i="23"/>
  <c r="E45" i="23"/>
  <c r="W48" i="23"/>
  <c r="W46" i="23"/>
  <c r="E46" i="23"/>
  <c r="FY33" i="21"/>
  <c r="T47" i="23" s="1"/>
  <c r="T45" i="23"/>
  <c r="D46" i="23"/>
  <c r="FZ33" i="21"/>
  <c r="U47" i="23" s="1"/>
  <c r="U45" i="23"/>
  <c r="T48" i="23"/>
  <c r="T46" i="23"/>
  <c r="C46" i="23"/>
  <c r="FW33" i="21"/>
  <c r="W47" i="23" s="1"/>
  <c r="W45" i="23"/>
  <c r="S48" i="23"/>
  <c r="S46" i="23"/>
  <c r="F46" i="23"/>
  <c r="G45" i="23"/>
  <c r="F45" i="23"/>
  <c r="N48" i="23"/>
  <c r="N46" i="23"/>
  <c r="FT33" i="21"/>
  <c r="M47" i="23" s="1"/>
  <c r="M45" i="23"/>
  <c r="M46" i="23"/>
  <c r="FU33" i="21"/>
  <c r="N47" i="23" s="1"/>
  <c r="N45" i="23"/>
  <c r="FQ33" i="21"/>
  <c r="O47" i="23" s="1"/>
  <c r="O45" i="23"/>
  <c r="L48" i="23"/>
  <c r="L46" i="23"/>
  <c r="FS33" i="21"/>
  <c r="L47" i="23" s="1"/>
  <c r="L45" i="23"/>
  <c r="FR33" i="21"/>
  <c r="K47" i="23" s="1"/>
  <c r="K45" i="23"/>
  <c r="E7" i="23"/>
  <c r="E8" i="23" s="1"/>
  <c r="E13" i="23" s="1"/>
  <c r="M48" i="23"/>
  <c r="H7" i="23"/>
  <c r="H8" i="23" s="1"/>
  <c r="D7" i="23"/>
  <c r="D8" i="23" s="1"/>
  <c r="I5" i="23"/>
  <c r="I6" i="23"/>
  <c r="I11" i="23"/>
  <c r="C8" i="23"/>
  <c r="I10" i="23"/>
  <c r="FL33" i="21"/>
  <c r="I4" i="23"/>
  <c r="F7" i="23"/>
  <c r="F8" i="23" s="1"/>
  <c r="FX33" i="21"/>
  <c r="S47" i="23" s="1"/>
  <c r="K48" i="23"/>
  <c r="O48" i="23"/>
  <c r="FO33" i="21"/>
  <c r="FN33" i="21"/>
  <c r="FM33" i="21"/>
  <c r="I8" i="23" l="1"/>
  <c r="F47" i="23"/>
  <c r="D48" i="23"/>
  <c r="G48" i="23"/>
  <c r="D47" i="23"/>
  <c r="C48" i="23"/>
  <c r="G47" i="23"/>
  <c r="E48" i="23"/>
  <c r="F48" i="23"/>
  <c r="E47" i="23"/>
  <c r="C47" i="23"/>
  <c r="I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G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Teniendo en cuenta que el análisis inluye solo batimetrías monohaz y multihaz no se debería incluir en este resumen las demas tecnologías. Es un poco confuso</t>
        </r>
      </text>
    </comment>
    <comment ref="N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 una medición porque el dato  de diseño se calculo con restitución cartografica</t>
        </r>
      </text>
    </comment>
    <comment ref="N1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Aunque tiene tres mediciones. En este análisis solo se usan dos, porque una de ella es restitución topografica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LUIS SIERRA POSADA</author>
  </authors>
  <commentList>
    <comment ref="C8" authorId="0" shapeId="0" xr:uid="{9AB70D29-CF70-4249-B9F4-F9933AEE8421}">
      <text>
        <r>
          <rPr>
            <b/>
            <sz val="9"/>
            <color indexed="81"/>
            <rFont val="Tahoma"/>
            <charset val="1"/>
          </rPr>
          <t>JOSE LUIS SIERRA POSADA:</t>
        </r>
        <r>
          <rPr>
            <sz val="9"/>
            <color indexed="81"/>
            <rFont val="Tahoma"/>
            <charset val="1"/>
          </rPr>
          <t xml:space="preserve">
Están contándose batimetrías que no se están utilizando en los cálculos</t>
        </r>
      </text>
    </comment>
  </commentList>
</comments>
</file>

<file path=xl/sharedStrings.xml><?xml version="1.0" encoding="utf-8"?>
<sst xmlns="http://schemas.openxmlformats.org/spreadsheetml/2006/main" count="1877" uniqueCount="219">
  <si>
    <t>ITEM</t>
  </si>
  <si>
    <t>AÑO DE MEDICION</t>
  </si>
  <si>
    <t>Topografia</t>
  </si>
  <si>
    <t>Monohaz</t>
  </si>
  <si>
    <t>Multihaz</t>
  </si>
  <si>
    <t>Lidar</t>
  </si>
  <si>
    <t>EMPRESA</t>
  </si>
  <si>
    <t>CENTRAL</t>
  </si>
  <si>
    <t>Diseño</t>
  </si>
  <si>
    <t>Otro
(Espeficique)</t>
  </si>
  <si>
    <t>METODOLOGÍA DE MEDICION</t>
  </si>
  <si>
    <t>TABLA DE VOLUMENES DE EMBALSE</t>
  </si>
  <si>
    <t>VOLUMEN (Mm3)</t>
  </si>
  <si>
    <t>Muerto</t>
  </si>
  <si>
    <t>Util</t>
  </si>
  <si>
    <t>Total</t>
  </si>
  <si>
    <t>Mm3</t>
  </si>
  <si>
    <t>%</t>
  </si>
  <si>
    <t>VARIACION VOLUMENES</t>
  </si>
  <si>
    <t>EPM</t>
  </si>
  <si>
    <t>Guatapé-Embalse Guatape Peñol</t>
  </si>
  <si>
    <t>Fue construida por etapas y la ultima etapa entró en operación e 1978</t>
  </si>
  <si>
    <t>Playas</t>
  </si>
  <si>
    <t>Riogrande II</t>
  </si>
  <si>
    <t xml:space="preserve">Troneras- Embalse Miraflores </t>
  </si>
  <si>
    <t>Troneras- Embalse Troneras</t>
  </si>
  <si>
    <t>Porce II</t>
  </si>
  <si>
    <t>Porce III</t>
  </si>
  <si>
    <t>Riogrande I</t>
  </si>
  <si>
    <t>Registros de Batimetrías por tramos antes de 1999. Embalse completo desde 1999 en adelante</t>
  </si>
  <si>
    <t xml:space="preserve">Conclusion: Embalse estable respecto a disminución de capacidad de embalse </t>
  </si>
  <si>
    <t>Nivel máximo fisico</t>
  </si>
  <si>
    <t>EPSA</t>
  </si>
  <si>
    <t>Nivel mínimo técnico</t>
  </si>
  <si>
    <t>ALTO ANCHICAYA</t>
  </si>
  <si>
    <t>Nivel mínimo fisico</t>
  </si>
  <si>
    <t>(*) Datos de muestra para diligenciamiento del formato</t>
  </si>
  <si>
    <t>*Batimetria incompleta (hasta nivel 642)</t>
  </si>
  <si>
    <t>Vol (Mm3) al nivel 642msnm</t>
  </si>
  <si>
    <t>SALVAJINA</t>
  </si>
  <si>
    <t>*Batimetria incompleta (hasta nivel 1141)</t>
  </si>
  <si>
    <t>Vol (Mm3) al nivel 1141msnm</t>
  </si>
  <si>
    <t>CALIMA</t>
  </si>
  <si>
    <t>*Batimetria incompleta (hasta nivel 1396,30)</t>
  </si>
  <si>
    <t>Vol (Mm3) al nivel 1396,30msnm</t>
  </si>
  <si>
    <t>PRADO</t>
  </si>
  <si>
    <t>URRÁ S.A. E.S.P.</t>
  </si>
  <si>
    <t>URRÁ</t>
  </si>
  <si>
    <t>ISAGEN</t>
  </si>
  <si>
    <t>San Carlos - Embalse Punchiná</t>
  </si>
  <si>
    <t>TABLA DE VOLÚMENES DE EMBALSE</t>
  </si>
  <si>
    <t>AÑO DE MEDICIÓN</t>
  </si>
  <si>
    <t>METODOLOGÍA DE MEDICIÓN</t>
  </si>
  <si>
    <t>VOLUMEN (Mm³)</t>
  </si>
  <si>
    <t>Topografía</t>
  </si>
  <si>
    <t>Útil</t>
  </si>
  <si>
    <t>GPS corrección RTK</t>
  </si>
  <si>
    <t>VARIACIÓN VOLÚMENES</t>
  </si>
  <si>
    <t>Mm³</t>
  </si>
  <si>
    <t>Jaguas - Embalse San Lorenzo</t>
  </si>
  <si>
    <t>Miel I - Embalse Amaní</t>
  </si>
  <si>
    <t>Restitución topográfica</t>
  </si>
  <si>
    <t>Sogamoso - Embalse Topocoro</t>
  </si>
  <si>
    <t xml:space="preserve">AES CHIVOR (*) </t>
  </si>
  <si>
    <t>CHIVOR</t>
  </si>
  <si>
    <t>restitucion fotogrametrica</t>
  </si>
  <si>
    <t>EMGESA</t>
  </si>
  <si>
    <t>TOTAL</t>
  </si>
  <si>
    <t>&lt; 5 años</t>
  </si>
  <si>
    <t>5 - 10 años</t>
  </si>
  <si>
    <t>10 - 20 años</t>
  </si>
  <si>
    <t/>
  </si>
  <si>
    <t>Años Operación</t>
  </si>
  <si>
    <t>URRA</t>
  </si>
  <si>
    <t>Guatapé</t>
  </si>
  <si>
    <t>Troneras</t>
  </si>
  <si>
    <t>San Carlos</t>
  </si>
  <si>
    <t>Miel</t>
  </si>
  <si>
    <t>Sogamoso</t>
  </si>
  <si>
    <t>Alto Anchicayá</t>
  </si>
  <si>
    <t>Salvajina</t>
  </si>
  <si>
    <t>Calima</t>
  </si>
  <si>
    <t>Prado</t>
  </si>
  <si>
    <t>Guavio</t>
  </si>
  <si>
    <t>Betania</t>
  </si>
  <si>
    <t>Urrá</t>
  </si>
  <si>
    <t>Chivor</t>
  </si>
  <si>
    <t>Capacidad instalada</t>
  </si>
  <si>
    <t>Inicial</t>
  </si>
  <si>
    <t>Final</t>
  </si>
  <si>
    <t>Volumen muerto Mm3</t>
  </si>
  <si>
    <t>Volumen util Mm3</t>
  </si>
  <si>
    <t>Volumen total Mm3</t>
  </si>
  <si>
    <t>Generacion prom.</t>
  </si>
  <si>
    <t>MW</t>
  </si>
  <si>
    <t>GWh/año</t>
  </si>
  <si>
    <t>N.A</t>
  </si>
  <si>
    <t>Observaciones</t>
  </si>
  <si>
    <t>No. Batimetrias</t>
  </si>
  <si>
    <t>Embalse No.</t>
  </si>
  <si>
    <t>Vol Muerto</t>
  </si>
  <si>
    <t>Variacion Volúmenes</t>
  </si>
  <si>
    <t>Vol Util</t>
  </si>
  <si>
    <t>Vol Total</t>
  </si>
  <si>
    <t>21 - 30 años</t>
  </si>
  <si>
    <t>&gt;30 AÑOS</t>
  </si>
  <si>
    <t>&gt; 30 años</t>
  </si>
  <si>
    <t>20 - 30 años</t>
  </si>
  <si>
    <t>&lt;5%</t>
  </si>
  <si>
    <t xml:space="preserve">Aumento </t>
  </si>
  <si>
    <t>Reducción &lt;20%</t>
  </si>
  <si>
    <t>Red 20 - 50%</t>
  </si>
  <si>
    <t>Reducción 50 - 70%</t>
  </si>
  <si>
    <t>Red &gt; 70%</t>
  </si>
  <si>
    <t>Cap Instalada (MWh)</t>
  </si>
  <si>
    <t>Generacion / año</t>
  </si>
  <si>
    <t>Promedio</t>
  </si>
  <si>
    <t xml:space="preserve"> </t>
  </si>
  <si>
    <t>La X en Topografía corresponde al levantamiento de la zona seca.</t>
  </si>
  <si>
    <t>La X en Lidar corresponde al levantamiento de la zona seca.</t>
  </si>
  <si>
    <t>Quimbo</t>
  </si>
  <si>
    <t>Restitución fotogramétrica</t>
  </si>
  <si>
    <t>Sisga (PAGUA)</t>
  </si>
  <si>
    <t>Tominé (PAGUA)</t>
  </si>
  <si>
    <t>Neusa (PAGUA)</t>
  </si>
  <si>
    <t>Chuza (PAGUA)</t>
  </si>
  <si>
    <t>Muña (PAGUA)</t>
  </si>
  <si>
    <t>Nota: En el año 2010 se incrementó la capacidad del embalse en 170.39 Mm3 elevando el nivel má1imo físico en 2.00 m.</t>
  </si>
  <si>
    <t xml:space="preserve">Reporte oficial CNO </t>
  </si>
  <si>
    <t>Jaguas</t>
  </si>
  <si>
    <t>Sisga</t>
  </si>
  <si>
    <t>Tomine</t>
  </si>
  <si>
    <t>Neusa</t>
  </si>
  <si>
    <t>Chuza</t>
  </si>
  <si>
    <t>ÍTEM</t>
  </si>
  <si>
    <t>Region</t>
  </si>
  <si>
    <t>Antioquia</t>
  </si>
  <si>
    <t>Centro</t>
  </si>
  <si>
    <t>Valle</t>
  </si>
  <si>
    <t>Oriente</t>
  </si>
  <si>
    <t>Caribe</t>
  </si>
  <si>
    <t>Año de Inicio Operación</t>
  </si>
  <si>
    <t>Pagua / Muña</t>
  </si>
  <si>
    <t>Total Campañas Medición</t>
  </si>
  <si>
    <t>TIPO MEDICIÓN</t>
  </si>
  <si>
    <t>Otro</t>
  </si>
  <si>
    <t>&gt;30 años</t>
  </si>
  <si>
    <t>21-30</t>
  </si>
  <si>
    <t>11-20</t>
  </si>
  <si>
    <t>0-5</t>
  </si>
  <si>
    <t>05-10</t>
  </si>
  <si>
    <t>0-10</t>
  </si>
  <si>
    <t>CENTRAL / EMBALSE</t>
  </si>
  <si>
    <t>% Cap. Instalada Hídrica País</t>
  </si>
  <si>
    <t>% Generación Hídrica País</t>
  </si>
  <si>
    <t>Reducción &lt;5%</t>
  </si>
  <si>
    <t>Red 5 - 10%</t>
  </si>
  <si>
    <t>Reducción 10 - 20%</t>
  </si>
  <si>
    <t>Red &gt; 20%</t>
  </si>
  <si>
    <t xml:space="preserve">RATA SEDIMENTACION </t>
  </si>
  <si>
    <t>(Mm3/año)</t>
  </si>
  <si>
    <t>(%/año)</t>
  </si>
  <si>
    <t># Embalses con reduccion Vol Util</t>
  </si>
  <si>
    <t>Reducción Promedio</t>
  </si>
  <si>
    <t>Tasa Sedimentación (Mm3/año)</t>
  </si>
  <si>
    <t>Tasa Sedimentación (%/año)</t>
  </si>
  <si>
    <t>&lt;5 años</t>
  </si>
  <si>
    <t>Promedio Variacion</t>
  </si>
  <si>
    <t>Volumen util y total hasta cota 1278 (incluye 1 metro de realce)</t>
  </si>
  <si>
    <t>&lt;20%</t>
  </si>
  <si>
    <t>20 – 50 %</t>
  </si>
  <si>
    <t>50 – 70 %</t>
  </si>
  <si>
    <t>&gt; 70%</t>
  </si>
  <si>
    <t>5 – 10 %</t>
  </si>
  <si>
    <t>10 – 20 %</t>
  </si>
  <si>
    <t>&gt; 20%</t>
  </si>
  <si>
    <t>Generación Año 
(GWh)</t>
  </si>
  <si>
    <t>AUMENTO</t>
  </si>
  <si>
    <t xml:space="preserve">Embalses </t>
  </si>
  <si>
    <t>REDUCCIÓN</t>
  </si>
  <si>
    <t>VOLUMEN MUERTO</t>
  </si>
  <si>
    <t>% Generación Hídrica Total
(25 embalses)</t>
  </si>
  <si>
    <t>Capacidad Instalada (MW)</t>
  </si>
  <si>
    <t>% Capacidad Instalada Hídrica Total 
(25 embalses)</t>
  </si>
  <si>
    <t>VOLUMEN ÚTIL</t>
  </si>
  <si>
    <t xml:space="preserve">REDUCCIÓN </t>
  </si>
  <si>
    <t xml:space="preserve"> VOLUMEN TOTAL</t>
  </si>
  <si>
    <t>Max</t>
  </si>
  <si>
    <t>Min</t>
  </si>
  <si>
    <t>AGENTE</t>
  </si>
  <si>
    <t>TIPO</t>
  </si>
  <si>
    <t>FECHA</t>
  </si>
  <si>
    <t xml:space="preserve">INFORMACION </t>
  </si>
  <si>
    <t>ACLARACIONES</t>
  </si>
  <si>
    <t>"EPM no tiene inconveniente en compartir con ACOLGEN la información del diagnóstico de sedimentación en los embalses preparado en el 2018"</t>
  </si>
  <si>
    <t>Aprobación compartir Diagnostico 2018 con Acolgen</t>
  </si>
  <si>
    <t>NOTAS:</t>
  </si>
  <si>
    <t>1- El volumen útil reportado oficialmente en 2001 fue 59,17 Mm³, correspondiente al nivel mínimo técnico en la cota 749 msnm.</t>
  </si>
  <si>
    <t>2- El volumen útil reportado oficialmente en 2008 fue 53,21 Mm³, correspondiente al nivel mínimo técnico en la cota 749 msnm.</t>
  </si>
  <si>
    <t>3- El volumen útil reportado oficialmente en 2020 fue 43,92 Mm³, correspondiente al nivel mínimo técnico en la cota 759 msnm, el cual fue modificado en el año 2019.</t>
  </si>
  <si>
    <t>4- En los años 1994, 1997 y 2015 el nivel mínimo técnico estaba en la cota 754 msnm, el cual se utilizó como referencia para reportar los datos del volumen útil de todas las batimetrías</t>
  </si>
  <si>
    <t xml:space="preserve">AES </t>
  </si>
  <si>
    <t>Años Operación
(hasta 2020)</t>
  </si>
  <si>
    <t>INFORMACION ADICIONAL A DIAGNOSTICO 2018</t>
  </si>
  <si>
    <t xml:space="preserve">Batimetria </t>
  </si>
  <si>
    <t>Punchiná 2020
Amaní 2019</t>
  </si>
  <si>
    <t>CELSIA</t>
  </si>
  <si>
    <t>Prado 2019</t>
  </si>
  <si>
    <t>Betania 2020</t>
  </si>
  <si>
    <t xml:space="preserve">Aclaracion </t>
  </si>
  <si>
    <t>"La batimetría del embalse Urrá no ha sido actualizada aún con posterioridad al año 2017, por lo que el diagnóstico de batimetrias de embalses realizado con corte a agosto de 2018 sigue siendo válido en lo que respecta al embalse mencionado"</t>
  </si>
  <si>
    <t>AES</t>
  </si>
  <si>
    <t>Esmeralda 2019</t>
  </si>
  <si>
    <t>(hasta 2020)</t>
  </si>
  <si>
    <r>
      <rPr>
        <sz val="11"/>
        <color rgb="FFFF0000"/>
        <rFont val="Calibri"/>
        <family val="2"/>
        <scheme val="minor"/>
      </rPr>
      <t>Playas 2018</t>
    </r>
    <r>
      <rPr>
        <sz val="11"/>
        <color theme="1"/>
        <rFont val="Calibri"/>
        <family val="2"/>
        <scheme val="minor"/>
      </rPr>
      <t xml:space="preserve">
Rio Grande II 2019
Porce III 2010, 2015, 2019</t>
    </r>
  </si>
  <si>
    <t>Mirafores</t>
  </si>
  <si>
    <t xml:space="preserve">Promedio (incluye los 25 embalses, algunos con ampliacion y otros con reducción de volumen) </t>
  </si>
  <si>
    <t xml:space="preserve">Promedio (incluye solo los embalses que mostraron reducción de volumen) </t>
  </si>
  <si>
    <t># Embalses con reducción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</si>
</sst>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yyyy"/>
    <numFmt numFmtId="165" formatCode="#,##0.00_ ;\-#,##0.00\ "/>
    <numFmt numFmtId="166" formatCode="0.0%"/>
    <numFmt numFmtId="167" formatCode="0.0"/>
    <numFmt numFmtId="168" formatCode="0.000%"/>
    <numFmt numFmtId="169" formatCode="0.000"/>
    <numFmt numFmtId="170" formatCode="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BECDE"/>
        <bgColor indexed="64"/>
      </patternFill>
    </fill>
    <fill>
      <patternFill patternType="solid">
        <fgColor rgb="FFE7F6E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thick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76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" fontId="5" fillId="0" borderId="13" xfId="0" applyNumberFormat="1" applyFont="1" applyFill="1" applyBorder="1" applyAlignment="1">
      <alignment horizontal="center" vertical="center" wrapText="1"/>
    </xf>
    <xf numFmtId="17" fontId="5" fillId="0" borderId="13" xfId="0" quotePrefix="1" applyNumberFormat="1" applyFont="1" applyFill="1" applyBorder="1" applyAlignment="1">
      <alignment horizontal="center" vertical="center" wrapText="1"/>
    </xf>
    <xf numFmtId="17" fontId="6" fillId="0" borderId="14" xfId="0" quotePrefix="1" applyNumberFormat="1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0" fillId="0" borderId="28" xfId="1" applyFont="1" applyBorder="1" applyAlignment="1">
      <alignment horizontal="center" vertical="center"/>
    </xf>
    <xf numFmtId="9" fontId="0" fillId="0" borderId="29" xfId="1" applyFont="1" applyBorder="1" applyAlignment="1">
      <alignment horizontal="center" vertical="center"/>
    </xf>
    <xf numFmtId="9" fontId="0" fillId="0" borderId="30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0" fillId="0" borderId="24" xfId="2" applyFont="1" applyBorder="1" applyAlignment="1">
      <alignment horizontal="center" vertical="center"/>
    </xf>
    <xf numFmtId="43" fontId="0" fillId="0" borderId="6" xfId="2" applyFont="1" applyBorder="1" applyAlignment="1">
      <alignment horizontal="center" vertical="center"/>
    </xf>
    <xf numFmtId="43" fontId="0" fillId="0" borderId="5" xfId="2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43" fontId="0" fillId="0" borderId="6" xfId="2" applyFont="1" applyBorder="1" applyAlignment="1">
      <alignment horizontal="left" vertical="center"/>
    </xf>
    <xf numFmtId="43" fontId="0" fillId="0" borderId="23" xfId="2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" fontId="0" fillId="0" borderId="8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5" fontId="0" fillId="0" borderId="23" xfId="2" applyNumberFormat="1" applyFont="1" applyBorder="1" applyAlignment="1">
      <alignment horizontal="center" vertical="center"/>
    </xf>
    <xf numFmtId="165" fontId="0" fillId="0" borderId="24" xfId="2" applyNumberFormat="1" applyFont="1" applyBorder="1" applyAlignment="1">
      <alignment horizontal="center" vertical="center"/>
    </xf>
    <xf numFmtId="165" fontId="0" fillId="0" borderId="11" xfId="2" applyNumberFormat="1" applyFont="1" applyBorder="1" applyAlignment="1">
      <alignment horizontal="center" vertical="center"/>
    </xf>
    <xf numFmtId="165" fontId="0" fillId="0" borderId="12" xfId="2" applyNumberFormat="1" applyFont="1" applyBorder="1" applyAlignment="1">
      <alignment horizontal="center" vertical="center"/>
    </xf>
    <xf numFmtId="165" fontId="0" fillId="0" borderId="5" xfId="2" applyNumberFormat="1" applyFont="1" applyBorder="1" applyAlignment="1">
      <alignment horizontal="center" vertical="center"/>
    </xf>
    <xf numFmtId="165" fontId="0" fillId="0" borderId="6" xfId="2" applyNumberFormat="1" applyFon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10" xfId="2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2" fontId="0" fillId="0" borderId="40" xfId="0" applyNumberFormat="1" applyBorder="1" applyAlignment="1">
      <alignment horizontal="center" vertical="center"/>
    </xf>
    <xf numFmtId="0" fontId="2" fillId="6" borderId="23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vertical="center"/>
    </xf>
    <xf numFmtId="0" fontId="2" fillId="6" borderId="25" xfId="0" applyFont="1" applyFill="1" applyBorder="1" applyAlignment="1">
      <alignment horizontal="left" vertical="center"/>
    </xf>
    <xf numFmtId="2" fontId="0" fillId="0" borderId="41" xfId="0" applyNumberFormat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6" fontId="0" fillId="0" borderId="40" xfId="1" applyNumberFormat="1" applyFon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6" fontId="0" fillId="0" borderId="24" xfId="1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166" fontId="0" fillId="0" borderId="41" xfId="1" applyNumberFormat="1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50" xfId="0" applyBorder="1"/>
    <xf numFmtId="1" fontId="0" fillId="0" borderId="8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" fontId="0" fillId="0" borderId="22" xfId="0" applyNumberFormat="1" applyBorder="1" applyAlignment="1">
      <alignment horizontal="center" vertical="center"/>
    </xf>
    <xf numFmtId="9" fontId="0" fillId="0" borderId="40" xfId="1" applyFon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9" fontId="0" fillId="0" borderId="41" xfId="1" applyFont="1" applyBorder="1" applyAlignment="1">
      <alignment horizontal="center" vertical="center"/>
    </xf>
    <xf numFmtId="2" fontId="0" fillId="0" borderId="5" xfId="2" applyNumberFormat="1" applyFont="1" applyBorder="1" applyAlignment="1">
      <alignment horizontal="center" vertical="center"/>
    </xf>
    <xf numFmtId="2" fontId="0" fillId="0" borderId="6" xfId="2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Fill="1"/>
    <xf numFmtId="43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6" borderId="23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" fontId="0" fillId="0" borderId="20" xfId="0" applyNumberFormat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/>
    </xf>
    <xf numFmtId="1" fontId="5" fillId="0" borderId="13" xfId="0" quotePrefix="1" applyNumberFormat="1" applyFont="1" applyFill="1" applyBorder="1" applyAlignment="1">
      <alignment horizontal="center" vertical="center" wrapText="1"/>
    </xf>
    <xf numFmtId="1" fontId="6" fillId="0" borderId="14" xfId="0" quotePrefix="1" applyNumberFormat="1" applyFont="1" applyFill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left" vertical="center"/>
    </xf>
    <xf numFmtId="1" fontId="0" fillId="0" borderId="39" xfId="0" applyNumberForma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1" fontId="0" fillId="0" borderId="20" xfId="0" applyNumberForma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1" fontId="2" fillId="2" borderId="27" xfId="0" applyNumberFormat="1" applyFont="1" applyFill="1" applyBorder="1" applyAlignment="1">
      <alignment vertical="center"/>
    </xf>
    <xf numFmtId="1" fontId="2" fillId="2" borderId="45" xfId="0" applyNumberFormat="1" applyFont="1" applyFill="1" applyBorder="1" applyAlignment="1">
      <alignment vertical="center"/>
    </xf>
    <xf numFmtId="1" fontId="2" fillId="2" borderId="46" xfId="0" applyNumberFormat="1" applyFont="1" applyFill="1" applyBorder="1" applyAlignment="1">
      <alignment vertical="center"/>
    </xf>
    <xf numFmtId="1" fontId="5" fillId="0" borderId="42" xfId="0" quotePrefix="1" applyNumberFormat="1" applyFont="1" applyFill="1" applyBorder="1" applyAlignment="1">
      <alignment horizontal="center" vertical="center" wrapText="1"/>
    </xf>
    <xf numFmtId="1" fontId="0" fillId="0" borderId="43" xfId="0" applyNumberFormat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164" fontId="0" fillId="13" borderId="6" xfId="0" applyNumberFormat="1" applyFill="1" applyBorder="1" applyAlignment="1">
      <alignment horizontal="center" vertical="center"/>
    </xf>
    <xf numFmtId="1" fontId="5" fillId="13" borderId="13" xfId="0" quotePrefix="1" applyNumberFormat="1" applyFont="1" applyFill="1" applyBorder="1" applyAlignment="1">
      <alignment horizontal="center" vertical="center" wrapText="1"/>
    </xf>
    <xf numFmtId="1" fontId="0" fillId="13" borderId="5" xfId="0" applyNumberFormat="1" applyFill="1" applyBorder="1" applyAlignment="1">
      <alignment horizontal="center" vertical="center"/>
    </xf>
    <xf numFmtId="1" fontId="0" fillId="13" borderId="18" xfId="0" applyNumberForma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43" fontId="0" fillId="13" borderId="11" xfId="2" applyFont="1" applyFill="1" applyBorder="1" applyAlignment="1">
      <alignment horizontal="center" vertical="center"/>
    </xf>
    <xf numFmtId="43" fontId="0" fillId="13" borderId="12" xfId="2" applyFont="1" applyFill="1" applyBorder="1" applyAlignment="1">
      <alignment horizontal="center" vertical="center"/>
    </xf>
    <xf numFmtId="43" fontId="0" fillId="13" borderId="5" xfId="2" applyFont="1" applyFill="1" applyBorder="1" applyAlignment="1">
      <alignment horizontal="center" vertical="center"/>
    </xf>
    <xf numFmtId="43" fontId="0" fillId="13" borderId="6" xfId="2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43" fontId="0" fillId="0" borderId="0" xfId="2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" fontId="5" fillId="13" borderId="13" xfId="0" applyNumberFormat="1" applyFont="1" applyFill="1" applyBorder="1" applyAlignment="1">
      <alignment horizontal="center" vertical="center" wrapText="1"/>
    </xf>
    <xf numFmtId="2" fontId="0" fillId="13" borderId="4" xfId="0" applyNumberFormat="1" applyFill="1" applyBorder="1" applyAlignment="1">
      <alignment horizontal="center" vertical="center"/>
    </xf>
    <xf numFmtId="2" fontId="0" fillId="13" borderId="5" xfId="0" applyNumberFormat="1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164" fontId="0" fillId="13" borderId="12" xfId="0" applyNumberFormat="1" applyFill="1" applyBorder="1" applyAlignment="1">
      <alignment horizontal="center" vertical="center"/>
    </xf>
    <xf numFmtId="1" fontId="5" fillId="13" borderId="15" xfId="0" applyNumberFormat="1" applyFont="1" applyFill="1" applyBorder="1" applyAlignment="1">
      <alignment horizontal="center" vertical="center" wrapText="1"/>
    </xf>
    <xf numFmtId="1" fontId="0" fillId="13" borderId="11" xfId="0" applyNumberFormat="1" applyFill="1" applyBorder="1" applyAlignment="1">
      <alignment horizontal="center" vertical="center"/>
    </xf>
    <xf numFmtId="1" fontId="0" fillId="13" borderId="20" xfId="0" applyNumberFormat="1" applyFill="1" applyBorder="1" applyAlignment="1">
      <alignment horizontal="center" vertical="center"/>
    </xf>
    <xf numFmtId="1" fontId="0" fillId="13" borderId="0" xfId="0" applyNumberFormat="1" applyFill="1" applyAlignment="1">
      <alignment horizontal="center" vertical="center"/>
    </xf>
    <xf numFmtId="17" fontId="5" fillId="13" borderId="13" xfId="0" applyNumberFormat="1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17" fontId="5" fillId="13" borderId="13" xfId="0" quotePrefix="1" applyNumberFormat="1" applyFont="1" applyFill="1" applyBorder="1" applyAlignment="1">
      <alignment horizontal="center" vertical="center" wrapText="1"/>
    </xf>
    <xf numFmtId="0" fontId="0" fillId="13" borderId="34" xfId="0" applyFill="1" applyBorder="1" applyAlignment="1">
      <alignment horizontal="center" vertical="center"/>
    </xf>
    <xf numFmtId="164" fontId="0" fillId="13" borderId="38" xfId="0" applyNumberFormat="1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2" fontId="0" fillId="0" borderId="4" xfId="0" applyNumberFormat="1" applyBorder="1" applyAlignment="1">
      <alignment horizontal="left" vertical="center"/>
    </xf>
    <xf numFmtId="2" fontId="0" fillId="0" borderId="5" xfId="0" applyNumberFormat="1" applyBorder="1" applyAlignment="1">
      <alignment horizontal="left" vertical="center"/>
    </xf>
    <xf numFmtId="2" fontId="0" fillId="0" borderId="6" xfId="0" applyNumberFormat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166" fontId="0" fillId="0" borderId="28" xfId="1" applyNumberFormat="1" applyFont="1" applyBorder="1" applyAlignment="1">
      <alignment horizontal="center" vertical="center"/>
    </xf>
    <xf numFmtId="166" fontId="0" fillId="0" borderId="29" xfId="1" applyNumberFormat="1" applyFont="1" applyBorder="1" applyAlignment="1">
      <alignment horizontal="center" vertical="center"/>
    </xf>
    <xf numFmtId="166" fontId="0" fillId="0" borderId="30" xfId="1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/>
    </xf>
    <xf numFmtId="0" fontId="8" fillId="13" borderId="6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67" fontId="0" fillId="14" borderId="23" xfId="0" applyNumberFormat="1" applyFill="1" applyBorder="1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0" fillId="15" borderId="23" xfId="0" applyFont="1" applyFill="1" applyBorder="1" applyAlignment="1">
      <alignment vertical="center" wrapText="1"/>
    </xf>
    <xf numFmtId="0" fontId="10" fillId="15" borderId="0" xfId="0" applyFont="1" applyFill="1" applyBorder="1" applyAlignment="1">
      <alignment vertical="center" wrapText="1"/>
    </xf>
    <xf numFmtId="0" fontId="10" fillId="15" borderId="24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" fontId="0" fillId="0" borderId="54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" fontId="0" fillId="10" borderId="3" xfId="0" applyNumberForma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9" fontId="0" fillId="0" borderId="1" xfId="1" applyFont="1" applyBorder="1" applyAlignment="1">
      <alignment vertical="center" wrapText="1"/>
    </xf>
    <xf numFmtId="9" fontId="0" fillId="0" borderId="2" xfId="1" applyFont="1" applyBorder="1" applyAlignment="1">
      <alignment vertical="center" wrapText="1"/>
    </xf>
    <xf numFmtId="9" fontId="0" fillId="0" borderId="3" xfId="1" applyFont="1" applyBorder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" fontId="0" fillId="10" borderId="6" xfId="0" applyNumberForma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67" fontId="0" fillId="6" borderId="4" xfId="0" applyNumberFormat="1" applyFill="1" applyBorder="1" applyAlignment="1">
      <alignment vertical="center" wrapText="1"/>
    </xf>
    <xf numFmtId="167" fontId="0" fillId="6" borderId="18" xfId="0" applyNumberFormat="1" applyFill="1" applyBorder="1" applyAlignment="1">
      <alignment vertical="center" wrapText="1"/>
    </xf>
    <xf numFmtId="167" fontId="0" fillId="6" borderId="6" xfId="0" applyNumberFormat="1" applyFill="1" applyBorder="1" applyAlignment="1">
      <alignment vertical="center" wrapText="1"/>
    </xf>
    <xf numFmtId="167" fontId="0" fillId="6" borderId="13" xfId="0" applyNumberFormat="1" applyFill="1" applyBorder="1" applyAlignment="1">
      <alignment vertical="center" wrapText="1"/>
    </xf>
    <xf numFmtId="9" fontId="0" fillId="0" borderId="4" xfId="1" applyFont="1" applyBorder="1" applyAlignment="1">
      <alignment vertical="center" wrapText="1"/>
    </xf>
    <xf numFmtId="9" fontId="0" fillId="0" borderId="5" xfId="1" applyFont="1" applyBorder="1" applyAlignment="1">
      <alignment vertical="center" wrapText="1"/>
    </xf>
    <xf numFmtId="9" fontId="0" fillId="0" borderId="6" xfId="1" applyFont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1" fontId="7" fillId="10" borderId="6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7" fontId="0" fillId="0" borderId="4" xfId="0" applyNumberFormat="1" applyFill="1" applyBorder="1" applyAlignment="1">
      <alignment vertical="center" wrapText="1"/>
    </xf>
    <xf numFmtId="167" fontId="0" fillId="0" borderId="18" xfId="0" applyNumberFormat="1" applyFill="1" applyBorder="1" applyAlignment="1">
      <alignment vertical="center" wrapText="1"/>
    </xf>
    <xf numFmtId="167" fontId="0" fillId="0" borderId="6" xfId="0" applyNumberFormat="1" applyFill="1" applyBorder="1" applyAlignment="1">
      <alignment vertical="center" wrapText="1"/>
    </xf>
    <xf numFmtId="167" fontId="0" fillId="0" borderId="13" xfId="0" applyNumberForma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" fontId="0" fillId="10" borderId="9" xfId="0" applyNumberFormat="1" applyFill="1" applyBorder="1" applyAlignment="1">
      <alignment vertical="center" wrapText="1"/>
    </xf>
    <xf numFmtId="9" fontId="0" fillId="0" borderId="7" xfId="1" applyFont="1" applyBorder="1" applyAlignment="1">
      <alignment vertical="center" wrapText="1"/>
    </xf>
    <xf numFmtId="9" fontId="0" fillId="0" borderId="8" xfId="1" applyFont="1" applyBorder="1" applyAlignment="1">
      <alignment vertical="center" wrapText="1"/>
    </xf>
    <xf numFmtId="9" fontId="0" fillId="0" borderId="9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0" fillId="14" borderId="0" xfId="0" applyFill="1" applyAlignment="1">
      <alignment vertical="center" wrapText="1"/>
    </xf>
    <xf numFmtId="167" fontId="0" fillId="14" borderId="23" xfId="0" applyNumberFormat="1" applyFill="1" applyBorder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167" fontId="0" fillId="0" borderId="10" xfId="0" applyNumberFormat="1" applyFill="1" applyBorder="1" applyAlignment="1">
      <alignment vertical="center" wrapText="1"/>
    </xf>
    <xf numFmtId="167" fontId="0" fillId="0" borderId="20" xfId="0" applyNumberFormat="1" applyFill="1" applyBorder="1" applyAlignment="1">
      <alignment vertical="center" wrapText="1"/>
    </xf>
    <xf numFmtId="167" fontId="0" fillId="0" borderId="12" xfId="0" applyNumberFormat="1" applyFill="1" applyBorder="1" applyAlignment="1">
      <alignment vertical="center" wrapText="1"/>
    </xf>
    <xf numFmtId="167" fontId="0" fillId="0" borderId="15" xfId="0" applyNumberForma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167" fontId="0" fillId="0" borderId="7" xfId="0" applyNumberFormat="1" applyFill="1" applyBorder="1" applyAlignment="1">
      <alignment vertical="center" wrapText="1"/>
    </xf>
    <xf numFmtId="167" fontId="0" fillId="0" borderId="19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1" fontId="0" fillId="0" borderId="12" xfId="0" applyNumberFormat="1" applyBorder="1" applyAlignment="1">
      <alignment vertical="center" wrapText="1"/>
    </xf>
    <xf numFmtId="1" fontId="0" fillId="0" borderId="6" xfId="0" applyNumberFormat="1" applyBorder="1" applyAlignment="1">
      <alignment vertical="center" wrapText="1"/>
    </xf>
    <xf numFmtId="1" fontId="0" fillId="0" borderId="6" xfId="0" applyNumberFormat="1" applyBorder="1" applyAlignment="1">
      <alignment horizontal="right" vertical="center" wrapText="1"/>
    </xf>
    <xf numFmtId="1" fontId="0" fillId="0" borderId="9" xfId="0" applyNumberFormat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36" xfId="0" applyNumberFormat="1" applyBorder="1" applyAlignment="1">
      <alignment vertical="center" wrapText="1"/>
    </xf>
    <xf numFmtId="0" fontId="0" fillId="12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4" xfId="0" applyFill="1" applyBorder="1" applyAlignment="1">
      <alignment vertical="center" wrapText="1"/>
    </xf>
    <xf numFmtId="1" fontId="0" fillId="0" borderId="6" xfId="0" applyNumberFormat="1" applyFill="1" applyBorder="1" applyAlignment="1">
      <alignment vertical="center" wrapText="1"/>
    </xf>
    <xf numFmtId="0" fontId="7" fillId="16" borderId="4" xfId="0" applyFont="1" applyFill="1" applyBorder="1" applyAlignment="1">
      <alignment vertical="center" wrapText="1"/>
    </xf>
    <xf numFmtId="1" fontId="7" fillId="16" borderId="6" xfId="0" applyNumberFormat="1" applyFont="1" applyFill="1" applyBorder="1" applyAlignment="1">
      <alignment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41" fontId="0" fillId="14" borderId="23" xfId="3" applyFont="1" applyFill="1" applyBorder="1" applyAlignment="1">
      <alignment horizontal="center" vertical="center" wrapText="1"/>
    </xf>
    <xf numFmtId="41" fontId="0" fillId="14" borderId="23" xfId="3" applyFont="1" applyFill="1" applyBorder="1" applyAlignment="1">
      <alignment vertical="center" wrapText="1"/>
    </xf>
    <xf numFmtId="0" fontId="2" fillId="18" borderId="7" xfId="0" applyFont="1" applyFill="1" applyBorder="1" applyAlignment="1">
      <alignment horizontal="center" vertical="center"/>
    </xf>
    <xf numFmtId="0" fontId="2" fillId="18" borderId="8" xfId="0" applyFont="1" applyFill="1" applyBorder="1" applyAlignment="1">
      <alignment horizontal="center" vertical="center"/>
    </xf>
    <xf numFmtId="0" fontId="2" fillId="18" borderId="9" xfId="0" applyFont="1" applyFill="1" applyBorder="1" applyAlignment="1">
      <alignment horizontal="center" vertical="center"/>
    </xf>
    <xf numFmtId="166" fontId="0" fillId="0" borderId="0" xfId="0" applyNumberFormat="1" applyAlignment="1">
      <alignment vertical="center" wrapText="1"/>
    </xf>
    <xf numFmtId="1" fontId="0" fillId="17" borderId="0" xfId="0" applyNumberFormat="1" applyFill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2" fontId="0" fillId="0" borderId="0" xfId="2" applyNumberFormat="1" applyFont="1" applyFill="1" applyBorder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 vertical="center"/>
    </xf>
    <xf numFmtId="43" fontId="0" fillId="0" borderId="0" xfId="2" applyFont="1" applyFill="1" applyBorder="1" applyAlignment="1">
      <alignment horizontal="left" vertical="center"/>
    </xf>
    <xf numFmtId="2" fontId="0" fillId="0" borderId="0" xfId="0" applyNumberFormat="1" applyFill="1" applyBorder="1" applyAlignment="1">
      <alignment horizontal="left" vertical="center"/>
    </xf>
    <xf numFmtId="168" fontId="0" fillId="7" borderId="0" xfId="1" applyNumberFormat="1" applyFont="1" applyFill="1"/>
    <xf numFmtId="169" fontId="0" fillId="7" borderId="0" xfId="0" applyNumberFormat="1" applyFill="1"/>
    <xf numFmtId="169" fontId="0" fillId="7" borderId="0" xfId="0" applyNumberFormat="1" applyFill="1" applyAlignment="1">
      <alignment vertical="center"/>
    </xf>
    <xf numFmtId="168" fontId="0" fillId="7" borderId="0" xfId="1" applyNumberFormat="1" applyFont="1" applyFill="1" applyAlignment="1">
      <alignment vertical="center"/>
    </xf>
    <xf numFmtId="169" fontId="0" fillId="7" borderId="0" xfId="0" applyNumberFormat="1" applyFill="1" applyAlignment="1">
      <alignment horizontal="center" vertical="center"/>
    </xf>
    <xf numFmtId="168" fontId="0" fillId="7" borderId="0" xfId="1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0" fillId="0" borderId="0" xfId="1" applyFont="1" applyBorder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6" fontId="0" fillId="0" borderId="0" xfId="1" applyNumberFormat="1" applyFont="1"/>
    <xf numFmtId="2" fontId="0" fillId="7" borderId="0" xfId="0" applyNumberFormat="1" applyFill="1" applyBorder="1" applyAlignment="1">
      <alignment horizontal="center" vertical="center"/>
    </xf>
    <xf numFmtId="2" fontId="0" fillId="0" borderId="1" xfId="1" applyNumberFormat="1" applyFont="1" applyBorder="1" applyAlignment="1">
      <alignment vertical="center" wrapText="1"/>
    </xf>
    <xf numFmtId="2" fontId="0" fillId="0" borderId="2" xfId="1" applyNumberFormat="1" applyFont="1" applyBorder="1" applyAlignment="1">
      <alignment vertical="center" wrapText="1"/>
    </xf>
    <xf numFmtId="10" fontId="0" fillId="0" borderId="2" xfId="1" applyNumberFormat="1" applyFont="1" applyBorder="1" applyAlignment="1">
      <alignment vertical="center" wrapText="1"/>
    </xf>
    <xf numFmtId="10" fontId="0" fillId="0" borderId="3" xfId="1" applyNumberFormat="1" applyFont="1" applyBorder="1" applyAlignment="1">
      <alignment vertical="center" wrapText="1"/>
    </xf>
    <xf numFmtId="2" fontId="0" fillId="0" borderId="4" xfId="1" applyNumberFormat="1" applyFont="1" applyBorder="1" applyAlignment="1">
      <alignment vertical="center" wrapText="1"/>
    </xf>
    <xf numFmtId="2" fontId="0" fillId="0" borderId="5" xfId="1" applyNumberFormat="1" applyFont="1" applyBorder="1" applyAlignment="1">
      <alignment vertical="center" wrapText="1"/>
    </xf>
    <xf numFmtId="10" fontId="0" fillId="0" borderId="5" xfId="1" applyNumberFormat="1" applyFont="1" applyBorder="1" applyAlignment="1">
      <alignment vertical="center" wrapText="1"/>
    </xf>
    <xf numFmtId="10" fontId="0" fillId="0" borderId="6" xfId="1" applyNumberFormat="1" applyFont="1" applyBorder="1" applyAlignment="1">
      <alignment vertical="center" wrapText="1"/>
    </xf>
    <xf numFmtId="2" fontId="0" fillId="0" borderId="6" xfId="1" applyNumberFormat="1" applyFont="1" applyBorder="1" applyAlignment="1">
      <alignment vertical="center" wrapText="1"/>
    </xf>
    <xf numFmtId="2" fontId="0" fillId="0" borderId="7" xfId="1" applyNumberFormat="1" applyFont="1" applyBorder="1" applyAlignment="1">
      <alignment vertical="center" wrapText="1"/>
    </xf>
    <xf numFmtId="2" fontId="0" fillId="0" borderId="8" xfId="1" applyNumberFormat="1" applyFont="1" applyBorder="1" applyAlignment="1">
      <alignment vertical="center" wrapText="1"/>
    </xf>
    <xf numFmtId="10" fontId="0" fillId="0" borderId="8" xfId="1" applyNumberFormat="1" applyFont="1" applyBorder="1" applyAlignment="1">
      <alignment vertical="center" wrapText="1"/>
    </xf>
    <xf numFmtId="10" fontId="0" fillId="0" borderId="9" xfId="1" applyNumberFormat="1" applyFont="1" applyBorder="1" applyAlignment="1">
      <alignment vertical="center" wrapText="1"/>
    </xf>
    <xf numFmtId="10" fontId="0" fillId="0" borderId="35" xfId="1" applyNumberFormat="1" applyFont="1" applyBorder="1" applyAlignment="1">
      <alignment vertical="center" wrapText="1"/>
    </xf>
    <xf numFmtId="10" fontId="0" fillId="0" borderId="13" xfId="1" applyNumberFormat="1" applyFont="1" applyBorder="1" applyAlignment="1">
      <alignment vertical="center" wrapText="1"/>
    </xf>
    <xf numFmtId="10" fontId="0" fillId="0" borderId="14" xfId="1" applyNumberFormat="1" applyFont="1" applyBorder="1" applyAlignment="1">
      <alignment vertical="center" wrapText="1"/>
    </xf>
    <xf numFmtId="2" fontId="0" fillId="0" borderId="3" xfId="1" applyNumberFormat="1" applyFont="1" applyBorder="1" applyAlignment="1">
      <alignment vertical="center" wrapText="1"/>
    </xf>
    <xf numFmtId="2" fontId="0" fillId="0" borderId="9" xfId="1" applyNumberFormat="1" applyFont="1" applyBorder="1" applyAlignment="1">
      <alignment vertical="center" wrapText="1"/>
    </xf>
    <xf numFmtId="166" fontId="0" fillId="0" borderId="0" xfId="0" applyNumberFormat="1" applyAlignment="1">
      <alignment vertical="center"/>
    </xf>
    <xf numFmtId="166" fontId="0" fillId="19" borderId="0" xfId="0" applyNumberFormat="1" applyFill="1" applyAlignment="1">
      <alignment horizontal="right" vertical="center"/>
    </xf>
    <xf numFmtId="2" fontId="0" fillId="19" borderId="0" xfId="1" applyNumberFormat="1" applyFont="1" applyFill="1" applyBorder="1" applyAlignment="1">
      <alignment vertical="center" wrapText="1"/>
    </xf>
    <xf numFmtId="166" fontId="0" fillId="19" borderId="0" xfId="1" applyNumberFormat="1" applyFont="1" applyFill="1" applyBorder="1" applyAlignment="1">
      <alignment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9" xfId="0" applyFont="1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43" fontId="0" fillId="0" borderId="5" xfId="2" applyFont="1" applyFill="1" applyBorder="1" applyAlignment="1">
      <alignment horizontal="center" vertical="center"/>
    </xf>
    <xf numFmtId="43" fontId="0" fillId="0" borderId="6" xfId="2" applyFont="1" applyFill="1" applyBorder="1" applyAlignment="1">
      <alignment horizontal="center" vertical="center"/>
    </xf>
    <xf numFmtId="2" fontId="0" fillId="13" borderId="5" xfId="2" applyNumberFormat="1" applyFont="1" applyFill="1" applyBorder="1" applyAlignment="1">
      <alignment horizontal="center" vertical="center"/>
    </xf>
    <xf numFmtId="2" fontId="0" fillId="13" borderId="6" xfId="2" applyNumberFormat="1" applyFont="1" applyFill="1" applyBorder="1" applyAlignment="1">
      <alignment horizontal="center" vertical="center"/>
    </xf>
    <xf numFmtId="0" fontId="0" fillId="13" borderId="6" xfId="0" applyNumberFormat="1" applyFill="1" applyBorder="1" applyAlignment="1">
      <alignment horizontal="center" vertical="center"/>
    </xf>
    <xf numFmtId="0" fontId="0" fillId="13" borderId="12" xfId="0" applyNumberFormat="1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2" fontId="8" fillId="13" borderId="0" xfId="0" applyNumberFormat="1" applyFont="1" applyFill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1" fontId="8" fillId="13" borderId="5" xfId="0" applyNumberFormat="1" applyFont="1" applyFill="1" applyBorder="1" applyAlignment="1">
      <alignment horizontal="center" vertical="center"/>
    </xf>
    <xf numFmtId="1" fontId="8" fillId="13" borderId="18" xfId="0" applyNumberFormat="1" applyFont="1" applyFill="1" applyBorder="1" applyAlignment="1">
      <alignment horizontal="center" vertical="center"/>
    </xf>
    <xf numFmtId="2" fontId="8" fillId="13" borderId="4" xfId="0" applyNumberFormat="1" applyFont="1" applyFill="1" applyBorder="1" applyAlignment="1">
      <alignment horizontal="center" vertical="center"/>
    </xf>
    <xf numFmtId="2" fontId="8" fillId="13" borderId="5" xfId="0" applyNumberFormat="1" applyFont="1" applyFill="1" applyBorder="1" applyAlignment="1">
      <alignment horizontal="center" vertical="center"/>
    </xf>
    <xf numFmtId="2" fontId="8" fillId="13" borderId="6" xfId="0" applyNumberFormat="1" applyFon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1" fontId="0" fillId="13" borderId="10" xfId="0" applyNumberFormat="1" applyFill="1" applyBorder="1" applyAlignment="1">
      <alignment horizontal="center" vertical="center"/>
    </xf>
    <xf numFmtId="1" fontId="0" fillId="13" borderId="12" xfId="0" applyNumberFormat="1" applyFill="1" applyBorder="1" applyAlignment="1">
      <alignment horizontal="center" vertical="center"/>
    </xf>
    <xf numFmtId="1" fontId="0" fillId="13" borderId="4" xfId="0" applyNumberFormat="1" applyFill="1" applyBorder="1" applyAlignment="1">
      <alignment horizontal="center" vertical="center"/>
    </xf>
    <xf numFmtId="1" fontId="0" fillId="13" borderId="6" xfId="0" applyNumberFormat="1" applyFill="1" applyBorder="1" applyAlignment="1">
      <alignment horizontal="center" vertical="center"/>
    </xf>
    <xf numFmtId="0" fontId="0" fillId="13" borderId="61" xfId="0" applyFill="1" applyBorder="1" applyAlignment="1">
      <alignment horizontal="center" vertical="center"/>
    </xf>
    <xf numFmtId="164" fontId="0" fillId="13" borderId="62" xfId="0" applyNumberFormat="1" applyFill="1" applyBorder="1" applyAlignment="1">
      <alignment horizontal="center" vertical="center"/>
    </xf>
    <xf numFmtId="17" fontId="5" fillId="13" borderId="42" xfId="0" applyNumberFormat="1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1" fontId="0" fillId="13" borderId="61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3" borderId="63" xfId="0" applyNumberFormat="1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17" fontId="5" fillId="13" borderId="14" xfId="0" applyNumberFormat="1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1" fontId="0" fillId="13" borderId="7" xfId="0" applyNumberFormat="1" applyFill="1" applyBorder="1" applyAlignment="1">
      <alignment horizontal="center" vertical="center"/>
    </xf>
    <xf numFmtId="1" fontId="0" fillId="13" borderId="8" xfId="0" applyNumberForma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70" fontId="0" fillId="7" borderId="0" xfId="0" applyNumberFormat="1" applyFill="1" applyAlignment="1">
      <alignment vertical="center"/>
    </xf>
    <xf numFmtId="9" fontId="0" fillId="0" borderId="0" xfId="0" applyNumberFormat="1" applyAlignment="1">
      <alignment vertical="center" wrapText="1"/>
    </xf>
    <xf numFmtId="165" fontId="0" fillId="0" borderId="0" xfId="3" applyNumberFormat="1" applyFont="1" applyAlignment="1">
      <alignment vertical="center" wrapText="1"/>
    </xf>
    <xf numFmtId="164" fontId="7" fillId="13" borderId="6" xfId="0" applyNumberFormat="1" applyFont="1" applyFill="1" applyBorder="1" applyAlignment="1">
      <alignment horizontal="center" vertical="center"/>
    </xf>
    <xf numFmtId="2" fontId="7" fillId="13" borderId="5" xfId="0" applyNumberFormat="1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164" fontId="7" fillId="13" borderId="38" xfId="0" applyNumberFormat="1" applyFont="1" applyFill="1" applyBorder="1" applyAlignment="1">
      <alignment horizontal="center" vertical="center"/>
    </xf>
    <xf numFmtId="10" fontId="0" fillId="7" borderId="0" xfId="1" applyNumberFormat="1" applyFont="1" applyFill="1"/>
    <xf numFmtId="10" fontId="0" fillId="7" borderId="0" xfId="1" applyNumberFormat="1" applyFont="1" applyFill="1" applyAlignment="1">
      <alignment horizontal="center"/>
    </xf>
    <xf numFmtId="2" fontId="0" fillId="7" borderId="0" xfId="0" applyNumberFormat="1" applyFill="1"/>
    <xf numFmtId="2" fontId="0" fillId="7" borderId="0" xfId="0" applyNumberFormat="1" applyFill="1" applyAlignment="1">
      <alignment horizontal="center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" fontId="7" fillId="0" borderId="6" xfId="0" applyNumberFormat="1" applyFont="1" applyBorder="1" applyAlignment="1">
      <alignment vertical="center" wrapText="1"/>
    </xf>
    <xf numFmtId="167" fontId="7" fillId="0" borderId="4" xfId="0" applyNumberFormat="1" applyFont="1" applyFill="1" applyBorder="1" applyAlignment="1">
      <alignment vertical="center" wrapText="1"/>
    </xf>
    <xf numFmtId="167" fontId="7" fillId="0" borderId="18" xfId="0" applyNumberFormat="1" applyFont="1" applyFill="1" applyBorder="1" applyAlignment="1">
      <alignment vertical="center" wrapText="1"/>
    </xf>
    <xf numFmtId="9" fontId="7" fillId="0" borderId="4" xfId="1" applyFont="1" applyBorder="1" applyAlignment="1">
      <alignment vertical="center" wrapText="1"/>
    </xf>
    <xf numFmtId="9" fontId="7" fillId="0" borderId="5" xfId="1" applyFont="1" applyBorder="1" applyAlignment="1">
      <alignment vertical="center" wrapText="1"/>
    </xf>
    <xf numFmtId="9" fontId="7" fillId="0" borderId="6" xfId="1" applyFont="1" applyBorder="1" applyAlignment="1">
      <alignment vertical="center" wrapText="1"/>
    </xf>
    <xf numFmtId="9" fontId="7" fillId="0" borderId="0" xfId="1" applyFont="1" applyBorder="1" applyAlignment="1">
      <alignment vertical="center" wrapText="1"/>
    </xf>
    <xf numFmtId="2" fontId="7" fillId="0" borderId="4" xfId="1" applyNumberFormat="1" applyFont="1" applyBorder="1" applyAlignment="1">
      <alignment vertical="center" wrapText="1"/>
    </xf>
    <xf numFmtId="2" fontId="7" fillId="0" borderId="5" xfId="1" applyNumberFormat="1" applyFont="1" applyBorder="1" applyAlignment="1">
      <alignment vertical="center" wrapText="1"/>
    </xf>
    <xf numFmtId="2" fontId="7" fillId="0" borderId="6" xfId="1" applyNumberFormat="1" applyFont="1" applyBorder="1" applyAlignment="1">
      <alignment vertical="center" wrapText="1"/>
    </xf>
    <xf numFmtId="10" fontId="7" fillId="0" borderId="13" xfId="1" applyNumberFormat="1" applyFont="1" applyBorder="1" applyAlignment="1">
      <alignment vertical="center" wrapText="1"/>
    </xf>
    <xf numFmtId="10" fontId="7" fillId="0" borderId="5" xfId="1" applyNumberFormat="1" applyFont="1" applyBorder="1" applyAlignment="1">
      <alignment vertical="center" wrapText="1"/>
    </xf>
    <xf numFmtId="10" fontId="7" fillId="0" borderId="6" xfId="1" applyNumberFormat="1" applyFont="1" applyBorder="1" applyAlignment="1">
      <alignment vertical="center" wrapText="1"/>
    </xf>
    <xf numFmtId="1" fontId="7" fillId="17" borderId="0" xfId="0" applyNumberFormat="1" applyFont="1" applyFill="1" applyAlignment="1">
      <alignment vertical="center" wrapText="1"/>
    </xf>
    <xf numFmtId="1" fontId="7" fillId="0" borderId="0" xfId="0" applyNumberFormat="1" applyFont="1" applyFill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readingOrder="1"/>
    </xf>
    <xf numFmtId="0" fontId="12" fillId="0" borderId="71" xfId="0" applyFont="1" applyFill="1" applyBorder="1" applyAlignment="1">
      <alignment horizontal="center" vertical="center" wrapText="1" readingOrder="1"/>
    </xf>
    <xf numFmtId="0" fontId="13" fillId="9" borderId="66" xfId="0" applyFont="1" applyFill="1" applyBorder="1" applyAlignment="1">
      <alignment horizontal="center" vertical="center" wrapText="1" readingOrder="1"/>
    </xf>
    <xf numFmtId="0" fontId="14" fillId="9" borderId="66" xfId="0" applyFont="1" applyFill="1" applyBorder="1" applyAlignment="1">
      <alignment horizontal="center" vertical="center" wrapText="1" readingOrder="1"/>
    </xf>
    <xf numFmtId="0" fontId="14" fillId="9" borderId="74" xfId="0" applyFont="1" applyFill="1" applyBorder="1" applyAlignment="1">
      <alignment horizontal="center" vertical="center" wrapText="1" readingOrder="1"/>
    </xf>
    <xf numFmtId="0" fontId="13" fillId="0" borderId="67" xfId="0" applyFont="1" applyFill="1" applyBorder="1" applyAlignment="1">
      <alignment horizontal="center" vertical="center" wrapText="1" readingOrder="1"/>
    </xf>
    <xf numFmtId="0" fontId="13" fillId="30" borderId="66" xfId="0" applyFont="1" applyFill="1" applyBorder="1" applyAlignment="1">
      <alignment horizontal="center" vertical="center" wrapText="1" readingOrder="1"/>
    </xf>
    <xf numFmtId="0" fontId="15" fillId="25" borderId="67" xfId="0" applyFont="1" applyFill="1" applyBorder="1" applyAlignment="1">
      <alignment horizontal="center" vertical="center" wrapText="1" readingOrder="1"/>
    </xf>
    <xf numFmtId="0" fontId="16" fillId="26" borderId="69" xfId="0" applyFont="1" applyFill="1" applyBorder="1" applyAlignment="1">
      <alignment horizontal="center" vertical="center" wrapText="1" readingOrder="1"/>
    </xf>
    <xf numFmtId="0" fontId="17" fillId="26" borderId="69" xfId="0" applyFont="1" applyFill="1" applyBorder="1" applyAlignment="1">
      <alignment horizontal="center" vertical="center" wrapText="1" readingOrder="1"/>
    </xf>
    <xf numFmtId="0" fontId="18" fillId="32" borderId="69" xfId="0" applyFont="1" applyFill="1" applyBorder="1" applyAlignment="1">
      <alignment horizontal="center" vertical="center" wrapText="1" readingOrder="1"/>
    </xf>
    <xf numFmtId="0" fontId="13" fillId="30" borderId="68" xfId="0" applyFont="1" applyFill="1" applyBorder="1" applyAlignment="1">
      <alignment horizontal="center" vertical="center" wrapText="1" readingOrder="1"/>
    </xf>
    <xf numFmtId="0" fontId="13" fillId="31" borderId="69" xfId="0" applyFont="1" applyFill="1" applyBorder="1" applyAlignment="1">
      <alignment horizontal="center" vertical="center" wrapText="1" readingOrder="1"/>
    </xf>
    <xf numFmtId="0" fontId="18" fillId="13" borderId="69" xfId="0" applyFont="1" applyFill="1" applyBorder="1" applyAlignment="1">
      <alignment horizontal="center" vertical="center" wrapText="1" readingOrder="1"/>
    </xf>
    <xf numFmtId="0" fontId="15" fillId="25" borderId="69" xfId="0" applyFont="1" applyFill="1" applyBorder="1" applyAlignment="1">
      <alignment horizontal="center" vertical="center" wrapText="1" readingOrder="1"/>
    </xf>
    <xf numFmtId="3" fontId="19" fillId="25" borderId="69" xfId="0" applyNumberFormat="1" applyFont="1" applyFill="1" applyBorder="1" applyAlignment="1">
      <alignment horizontal="center" vertical="center" wrapText="1" readingOrder="1"/>
    </xf>
    <xf numFmtId="3" fontId="20" fillId="25" borderId="69" xfId="0" applyNumberFormat="1" applyFont="1" applyFill="1" applyBorder="1" applyAlignment="1">
      <alignment horizontal="center" vertical="center" wrapText="1" readingOrder="1"/>
    </xf>
    <xf numFmtId="3" fontId="21" fillId="33" borderId="69" xfId="0" applyNumberFormat="1" applyFont="1" applyFill="1" applyBorder="1" applyAlignment="1">
      <alignment horizontal="center" vertical="center" wrapText="1" readingOrder="1"/>
    </xf>
    <xf numFmtId="0" fontId="13" fillId="30" borderId="69" xfId="0" applyFont="1" applyFill="1" applyBorder="1" applyAlignment="1">
      <alignment horizontal="center" vertical="center" wrapText="1" readingOrder="1"/>
    </xf>
    <xf numFmtId="3" fontId="19" fillId="30" borderId="69" xfId="0" applyNumberFormat="1" applyFont="1" applyFill="1" applyBorder="1" applyAlignment="1">
      <alignment horizontal="center" vertical="center" wrapText="1" readingOrder="1"/>
    </xf>
    <xf numFmtId="3" fontId="21" fillId="35" borderId="69" xfId="0" applyNumberFormat="1" applyFont="1" applyFill="1" applyBorder="1" applyAlignment="1">
      <alignment horizontal="center" vertical="center" wrapText="1" readingOrder="1"/>
    </xf>
    <xf numFmtId="0" fontId="15" fillId="26" borderId="70" xfId="0" applyFont="1" applyFill="1" applyBorder="1" applyAlignment="1">
      <alignment horizontal="center" vertical="center" wrapText="1" readingOrder="1"/>
    </xf>
    <xf numFmtId="3" fontId="19" fillId="26" borderId="70" xfId="0" applyNumberFormat="1" applyFont="1" applyFill="1" applyBorder="1" applyAlignment="1">
      <alignment horizontal="center" vertical="center" wrapText="1" readingOrder="1"/>
    </xf>
    <xf numFmtId="3" fontId="20" fillId="26" borderId="70" xfId="0" applyNumberFormat="1" applyFont="1" applyFill="1" applyBorder="1" applyAlignment="1">
      <alignment horizontal="center" vertical="center" wrapText="1" readingOrder="1"/>
    </xf>
    <xf numFmtId="3" fontId="21" fillId="32" borderId="70" xfId="0" applyNumberFormat="1" applyFont="1" applyFill="1" applyBorder="1" applyAlignment="1">
      <alignment horizontal="center" vertical="center" wrapText="1" readingOrder="1"/>
    </xf>
    <xf numFmtId="3" fontId="19" fillId="31" borderId="69" xfId="0" applyNumberFormat="1" applyFont="1" applyFill="1" applyBorder="1" applyAlignment="1">
      <alignment horizontal="center" vertical="center" wrapText="1" readingOrder="1"/>
    </xf>
    <xf numFmtId="3" fontId="21" fillId="13" borderId="69" xfId="0" applyNumberFormat="1" applyFont="1" applyFill="1" applyBorder="1" applyAlignment="1">
      <alignment horizontal="center" vertical="center" wrapText="1" readingOrder="1"/>
    </xf>
    <xf numFmtId="9" fontId="19" fillId="25" borderId="69" xfId="0" applyNumberFormat="1" applyFont="1" applyFill="1" applyBorder="1" applyAlignment="1">
      <alignment horizontal="center" vertical="center" wrapText="1" readingOrder="1"/>
    </xf>
    <xf numFmtId="9" fontId="20" fillId="25" borderId="69" xfId="0" applyNumberFormat="1" applyFont="1" applyFill="1" applyBorder="1" applyAlignment="1">
      <alignment horizontal="center" vertical="center" wrapText="1" readingOrder="1"/>
    </xf>
    <xf numFmtId="9" fontId="21" fillId="33" borderId="69" xfId="1" applyFont="1" applyFill="1" applyBorder="1" applyAlignment="1">
      <alignment horizontal="center" vertical="center" wrapText="1" readingOrder="1"/>
    </xf>
    <xf numFmtId="9" fontId="19" fillId="30" borderId="69" xfId="0" applyNumberFormat="1" applyFont="1" applyFill="1" applyBorder="1" applyAlignment="1">
      <alignment horizontal="center" vertical="center" wrapText="1" readingOrder="1"/>
    </xf>
    <xf numFmtId="9" fontId="21" fillId="35" borderId="69" xfId="1" applyFont="1" applyFill="1" applyBorder="1" applyAlignment="1">
      <alignment horizontal="center" vertical="center" wrapText="1" readingOrder="1"/>
    </xf>
    <xf numFmtId="0" fontId="15" fillId="26" borderId="69" xfId="0" applyFont="1" applyFill="1" applyBorder="1" applyAlignment="1">
      <alignment horizontal="center" vertical="center" wrapText="1" readingOrder="1"/>
    </xf>
    <xf numFmtId="9" fontId="19" fillId="26" borderId="69" xfId="0" applyNumberFormat="1" applyFont="1" applyFill="1" applyBorder="1" applyAlignment="1">
      <alignment horizontal="center" vertical="center" wrapText="1" readingOrder="1"/>
    </xf>
    <xf numFmtId="9" fontId="20" fillId="26" borderId="69" xfId="0" applyNumberFormat="1" applyFont="1" applyFill="1" applyBorder="1" applyAlignment="1">
      <alignment horizontal="center" vertical="center" wrapText="1" readingOrder="1"/>
    </xf>
    <xf numFmtId="9" fontId="18" fillId="32" borderId="69" xfId="1" applyFont="1" applyFill="1" applyBorder="1" applyAlignment="1">
      <alignment horizontal="center" vertical="center" wrapText="1" readingOrder="1"/>
    </xf>
    <xf numFmtId="9" fontId="19" fillId="31" borderId="69" xfId="0" applyNumberFormat="1" applyFont="1" applyFill="1" applyBorder="1" applyAlignment="1">
      <alignment horizontal="center" vertical="center" wrapText="1" readingOrder="1"/>
    </xf>
    <xf numFmtId="9" fontId="18" fillId="13" borderId="69" xfId="1" applyFont="1" applyFill="1" applyBorder="1" applyAlignment="1">
      <alignment horizontal="center" vertical="center" wrapText="1" readingOrder="1"/>
    </xf>
    <xf numFmtId="0" fontId="22" fillId="0" borderId="5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" fontId="7" fillId="0" borderId="6" xfId="0" applyNumberFormat="1" applyFont="1" applyFill="1" applyBorder="1" applyAlignment="1">
      <alignment vertical="center" wrapText="1"/>
    </xf>
    <xf numFmtId="2" fontId="7" fillId="19" borderId="4" xfId="1" applyNumberFormat="1" applyFont="1" applyFill="1" applyBorder="1" applyAlignment="1">
      <alignment vertical="center" wrapText="1"/>
    </xf>
    <xf numFmtId="2" fontId="7" fillId="19" borderId="5" xfId="1" applyNumberFormat="1" applyFont="1" applyFill="1" applyBorder="1" applyAlignment="1">
      <alignment vertical="center" wrapText="1"/>
    </xf>
    <xf numFmtId="2" fontId="7" fillId="19" borderId="6" xfId="1" applyNumberFormat="1" applyFont="1" applyFill="1" applyBorder="1" applyAlignment="1">
      <alignment vertical="center" wrapText="1"/>
    </xf>
    <xf numFmtId="2" fontId="7" fillId="0" borderId="13" xfId="1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" fontId="8" fillId="16" borderId="6" xfId="0" applyNumberFormat="1" applyFont="1" applyFill="1" applyBorder="1" applyAlignment="1">
      <alignment vertical="center" wrapText="1"/>
    </xf>
    <xf numFmtId="167" fontId="8" fillId="0" borderId="4" xfId="0" applyNumberFormat="1" applyFont="1" applyFill="1" applyBorder="1" applyAlignment="1">
      <alignment vertical="center" wrapText="1"/>
    </xf>
    <xf numFmtId="167" fontId="8" fillId="0" borderId="18" xfId="0" applyNumberFormat="1" applyFont="1" applyFill="1" applyBorder="1" applyAlignment="1">
      <alignment vertical="center" wrapText="1"/>
    </xf>
    <xf numFmtId="167" fontId="8" fillId="0" borderId="6" xfId="0" applyNumberFormat="1" applyFont="1" applyFill="1" applyBorder="1" applyAlignment="1">
      <alignment vertical="center" wrapText="1"/>
    </xf>
    <xf numFmtId="167" fontId="8" fillId="0" borderId="13" xfId="0" applyNumberFormat="1" applyFont="1" applyFill="1" applyBorder="1" applyAlignment="1">
      <alignment vertical="center" wrapText="1"/>
    </xf>
    <xf numFmtId="9" fontId="8" fillId="0" borderId="4" xfId="1" applyFont="1" applyBorder="1" applyAlignment="1">
      <alignment vertical="center" wrapText="1"/>
    </xf>
    <xf numFmtId="9" fontId="8" fillId="0" borderId="5" xfId="1" applyFont="1" applyBorder="1" applyAlignment="1">
      <alignment vertical="center" wrapText="1"/>
    </xf>
    <xf numFmtId="9" fontId="8" fillId="0" borderId="6" xfId="1" applyFont="1" applyBorder="1" applyAlignment="1">
      <alignment vertical="center" wrapText="1"/>
    </xf>
    <xf numFmtId="9" fontId="8" fillId="0" borderId="0" xfId="1" applyFont="1" applyBorder="1" applyAlignment="1">
      <alignment vertical="center" wrapText="1"/>
    </xf>
    <xf numFmtId="2" fontId="8" fillId="0" borderId="4" xfId="1" applyNumberFormat="1" applyFont="1" applyBorder="1" applyAlignment="1">
      <alignment vertical="center" wrapText="1"/>
    </xf>
    <xf numFmtId="2" fontId="8" fillId="0" borderId="5" xfId="1" applyNumberFormat="1" applyFont="1" applyBorder="1" applyAlignment="1">
      <alignment vertical="center" wrapText="1"/>
    </xf>
    <xf numFmtId="2" fontId="8" fillId="0" borderId="6" xfId="1" applyNumberFormat="1" applyFont="1" applyBorder="1" applyAlignment="1">
      <alignment vertical="center" wrapText="1"/>
    </xf>
    <xf numFmtId="10" fontId="8" fillId="0" borderId="13" xfId="1" applyNumberFormat="1" applyFont="1" applyBorder="1" applyAlignment="1">
      <alignment vertical="center" wrapText="1"/>
    </xf>
    <xf numFmtId="10" fontId="8" fillId="0" borderId="5" xfId="1" applyNumberFormat="1" applyFont="1" applyBorder="1" applyAlignment="1">
      <alignment vertical="center" wrapText="1"/>
    </xf>
    <xf numFmtId="10" fontId="8" fillId="0" borderId="6" xfId="1" applyNumberFormat="1" applyFont="1" applyBorder="1" applyAlignment="1">
      <alignment vertical="center" wrapText="1"/>
    </xf>
    <xf numFmtId="1" fontId="8" fillId="17" borderId="0" xfId="0" applyNumberFormat="1" applyFont="1" applyFill="1" applyAlignment="1">
      <alignment vertical="center" wrapText="1"/>
    </xf>
    <xf numFmtId="1" fontId="8" fillId="0" borderId="0" xfId="0" applyNumberFormat="1" applyFont="1" applyFill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1" fontId="8" fillId="10" borderId="6" xfId="0" applyNumberFormat="1" applyFont="1" applyFill="1" applyBorder="1" applyAlignment="1">
      <alignment vertical="center" wrapText="1"/>
    </xf>
    <xf numFmtId="0" fontId="8" fillId="16" borderId="4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3" fontId="19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center" vertical="center" wrapText="1" readingOrder="1"/>
    </xf>
    <xf numFmtId="0" fontId="18" fillId="0" borderId="0" xfId="0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center" vertical="center" wrapText="1" readingOrder="1"/>
    </xf>
    <xf numFmtId="3" fontId="21" fillId="0" borderId="0" xfId="0" applyNumberFormat="1" applyFont="1" applyFill="1" applyBorder="1" applyAlignment="1">
      <alignment horizontal="center" vertical="center" wrapText="1" readingOrder="1"/>
    </xf>
    <xf numFmtId="9" fontId="19" fillId="0" borderId="0" xfId="0" applyNumberFormat="1" applyFont="1" applyFill="1" applyBorder="1" applyAlignment="1">
      <alignment horizontal="center" vertical="center" wrapText="1" readingOrder="1"/>
    </xf>
    <xf numFmtId="9" fontId="21" fillId="0" borderId="0" xfId="1" applyFont="1" applyFill="1" applyBorder="1" applyAlignment="1">
      <alignment horizontal="center" vertical="center" wrapText="1" readingOrder="1"/>
    </xf>
    <xf numFmtId="9" fontId="18" fillId="0" borderId="0" xfId="1" applyFont="1" applyFill="1" applyBorder="1" applyAlignment="1">
      <alignment horizontal="center" vertical="center" wrapText="1" readingOrder="1"/>
    </xf>
    <xf numFmtId="9" fontId="18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vertical="center" wrapText="1" readingOrder="1"/>
    </xf>
    <xf numFmtId="0" fontId="12" fillId="0" borderId="0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vertical="center"/>
    </xf>
    <xf numFmtId="10" fontId="0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10" fontId="0" fillId="0" borderId="0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16" fontId="0" fillId="0" borderId="0" xfId="0" quotePrefix="1" applyNumberForma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43" fontId="7" fillId="6" borderId="5" xfId="2" applyFont="1" applyFill="1" applyBorder="1" applyAlignment="1">
      <alignment horizontal="center" vertical="center"/>
    </xf>
    <xf numFmtId="1" fontId="5" fillId="0" borderId="13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4" fontId="0" fillId="13" borderId="28" xfId="0" applyNumberFormat="1" applyFill="1" applyBorder="1" applyAlignment="1">
      <alignment horizontal="center" vertical="center"/>
    </xf>
    <xf numFmtId="164" fontId="0" fillId="13" borderId="54" xfId="0" applyNumberForma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6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" fontId="5" fillId="6" borderId="13" xfId="0" quotePrefix="1" applyNumberFormat="1" applyFont="1" applyFill="1" applyBorder="1" applyAlignment="1">
      <alignment horizontal="center" vertical="center" wrapText="1"/>
    </xf>
    <xf numFmtId="1" fontId="0" fillId="6" borderId="5" xfId="0" applyNumberFormat="1" applyFill="1" applyBorder="1" applyAlignment="1">
      <alignment horizontal="center" vertical="center"/>
    </xf>
    <xf numFmtId="1" fontId="0" fillId="6" borderId="18" xfId="0" applyNumberFormat="1" applyFill="1" applyBorder="1" applyAlignment="1">
      <alignment horizontal="center" vertical="center"/>
    </xf>
    <xf numFmtId="10" fontId="0" fillId="7" borderId="0" xfId="1" applyNumberFormat="1" applyFont="1" applyFill="1" applyAlignment="1">
      <alignment vertical="center"/>
    </xf>
    <xf numFmtId="167" fontId="0" fillId="13" borderId="4" xfId="0" applyNumberFormat="1" applyFill="1" applyBorder="1" applyAlignment="1">
      <alignment horizontal="center" vertical="center"/>
    </xf>
    <xf numFmtId="167" fontId="0" fillId="13" borderId="5" xfId="0" applyNumberFormat="1" applyFill="1" applyBorder="1" applyAlignment="1">
      <alignment horizontal="center" vertical="center"/>
    </xf>
    <xf numFmtId="167" fontId="0" fillId="13" borderId="6" xfId="0" applyNumberFormat="1" applyFill="1" applyBorder="1" applyAlignment="1">
      <alignment horizontal="center" vertical="center"/>
    </xf>
    <xf numFmtId="1" fontId="0" fillId="0" borderId="37" xfId="0" applyNumberForma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1" fontId="28" fillId="0" borderId="0" xfId="0" applyNumberFormat="1" applyFont="1" applyAlignment="1">
      <alignment vertical="center" wrapText="1"/>
    </xf>
    <xf numFmtId="9" fontId="28" fillId="0" borderId="0" xfId="0" applyNumberFormat="1" applyFont="1" applyAlignment="1">
      <alignment vertical="center" wrapText="1"/>
    </xf>
    <xf numFmtId="165" fontId="28" fillId="0" borderId="0" xfId="3" applyNumberFormat="1" applyFont="1" applyAlignment="1">
      <alignment vertical="center" wrapText="1"/>
    </xf>
    <xf numFmtId="166" fontId="28" fillId="0" borderId="0" xfId="0" applyNumberFormat="1" applyFont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14" borderId="0" xfId="0" applyFont="1" applyFill="1" applyAlignment="1">
      <alignment vertical="center" wrapText="1"/>
    </xf>
    <xf numFmtId="167" fontId="28" fillId="14" borderId="23" xfId="0" applyNumberFormat="1" applyFont="1" applyFill="1" applyBorder="1" applyAlignment="1">
      <alignment horizontal="center" vertical="center" wrapText="1"/>
    </xf>
    <xf numFmtId="41" fontId="28" fillId="14" borderId="23" xfId="3" applyFont="1" applyFill="1" applyBorder="1" applyAlignment="1">
      <alignment horizontal="center" vertical="center" wrapText="1"/>
    </xf>
    <xf numFmtId="167" fontId="28" fillId="14" borderId="23" xfId="0" applyNumberFormat="1" applyFont="1" applyFill="1" applyBorder="1" applyAlignment="1">
      <alignment vertical="center" wrapText="1"/>
    </xf>
    <xf numFmtId="41" fontId="28" fillId="14" borderId="23" xfId="3" applyFont="1" applyFill="1" applyBorder="1" applyAlignment="1">
      <alignment vertical="center" wrapText="1"/>
    </xf>
    <xf numFmtId="15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50" xfId="0" applyBorder="1" applyAlignment="1">
      <alignment wrapText="1"/>
    </xf>
    <xf numFmtId="0" fontId="0" fillId="0" borderId="50" xfId="0" quotePrefix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0" fillId="37" borderId="50" xfId="0" applyFont="1" applyFill="1" applyBorder="1" applyAlignment="1">
      <alignment horizontal="center" vertical="center" wrapText="1"/>
    </xf>
    <xf numFmtId="0" fontId="2" fillId="38" borderId="50" xfId="0" applyFont="1" applyFill="1" applyBorder="1" applyAlignment="1">
      <alignment horizontal="center" vertical="center"/>
    </xf>
    <xf numFmtId="0" fontId="10" fillId="37" borderId="50" xfId="0" applyFont="1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2" fillId="13" borderId="64" xfId="0" applyFont="1" applyFill="1" applyBorder="1" applyAlignment="1">
      <alignment horizontal="center" vertical="center"/>
    </xf>
    <xf numFmtId="0" fontId="2" fillId="13" borderId="65" xfId="0" applyFont="1" applyFill="1" applyBorder="1" applyAlignment="1">
      <alignment horizontal="center" vertical="center"/>
    </xf>
    <xf numFmtId="0" fontId="2" fillId="17" borderId="64" xfId="0" applyFont="1" applyFill="1" applyBorder="1" applyAlignment="1">
      <alignment horizontal="center" vertical="center"/>
    </xf>
    <xf numFmtId="0" fontId="2" fillId="17" borderId="6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6" fontId="0" fillId="0" borderId="0" xfId="0" quotePrefix="1" applyNumberForma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169" fontId="0" fillId="0" borderId="5" xfId="0" applyNumberFormat="1" applyBorder="1" applyAlignment="1">
      <alignment horizontal="center" vertical="center"/>
    </xf>
    <xf numFmtId="169" fontId="0" fillId="0" borderId="6" xfId="0" applyNumberForma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19" borderId="32" xfId="0" applyFill="1" applyBorder="1" applyAlignment="1">
      <alignment horizontal="center" vertical="center"/>
    </xf>
    <xf numFmtId="169" fontId="0" fillId="19" borderId="7" xfId="0" applyNumberFormat="1" applyFill="1" applyBorder="1" applyAlignment="1">
      <alignment horizontal="center" vertical="center"/>
    </xf>
    <xf numFmtId="169" fontId="0" fillId="19" borderId="8" xfId="0" applyNumberFormat="1" applyFill="1" applyBorder="1" applyAlignment="1">
      <alignment horizontal="center" vertical="center"/>
    </xf>
    <xf numFmtId="169" fontId="0" fillId="19" borderId="9" xfId="0" applyNumberFormat="1" applyFill="1" applyBorder="1" applyAlignment="1">
      <alignment horizontal="center" vertical="center"/>
    </xf>
    <xf numFmtId="10" fontId="0" fillId="19" borderId="14" xfId="1" applyNumberFormat="1" applyFont="1" applyFill="1" applyBorder="1" applyAlignment="1">
      <alignment horizontal="center" vertical="center"/>
    </xf>
    <xf numFmtId="10" fontId="0" fillId="19" borderId="8" xfId="1" applyNumberFormat="1" applyFont="1" applyFill="1" applyBorder="1" applyAlignment="1">
      <alignment horizontal="center" vertical="center"/>
    </xf>
    <xf numFmtId="10" fontId="0" fillId="19" borderId="9" xfId="1" applyNumberFormat="1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1" borderId="31" xfId="0" applyFill="1" applyBorder="1" applyAlignment="1">
      <alignment horizontal="center" vertical="center"/>
    </xf>
    <xf numFmtId="169" fontId="0" fillId="21" borderId="4" xfId="0" applyNumberFormat="1" applyFill="1" applyBorder="1" applyAlignment="1">
      <alignment horizontal="center" vertical="center"/>
    </xf>
    <xf numFmtId="169" fontId="0" fillId="21" borderId="5" xfId="0" applyNumberFormat="1" applyFill="1" applyBorder="1" applyAlignment="1">
      <alignment horizontal="center" vertical="center"/>
    </xf>
    <xf numFmtId="169" fontId="0" fillId="21" borderId="6" xfId="0" applyNumberFormat="1" applyFill="1" applyBorder="1" applyAlignment="1">
      <alignment horizontal="center" vertical="center"/>
    </xf>
    <xf numFmtId="10" fontId="0" fillId="21" borderId="13" xfId="1" applyNumberFormat="1" applyFont="1" applyFill="1" applyBorder="1" applyAlignment="1">
      <alignment horizontal="center" vertical="center"/>
    </xf>
    <xf numFmtId="10" fontId="0" fillId="21" borderId="5" xfId="1" applyNumberFormat="1" applyFont="1" applyFill="1" applyBorder="1" applyAlignment="1">
      <alignment horizontal="center" vertical="center"/>
    </xf>
    <xf numFmtId="10" fontId="0" fillId="21" borderId="6" xfId="1" applyNumberFormat="1" applyFont="1" applyFill="1" applyBorder="1" applyAlignment="1">
      <alignment horizontal="center" vertical="center"/>
    </xf>
    <xf numFmtId="0" fontId="0" fillId="21" borderId="34" xfId="0" applyFill="1" applyBorder="1" applyAlignment="1">
      <alignment horizontal="center" vertical="center"/>
    </xf>
    <xf numFmtId="0" fontId="0" fillId="21" borderId="34" xfId="0" quotePrefix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1" borderId="0" xfId="0" applyFill="1" applyAlignment="1">
      <alignment horizontal="left" vertical="center"/>
    </xf>
    <xf numFmtId="1" fontId="7" fillId="0" borderId="0" xfId="0" applyNumberFormat="1" applyFont="1" applyAlignment="1">
      <alignment vertical="center" wrapText="1"/>
    </xf>
    <xf numFmtId="9" fontId="0" fillId="0" borderId="0" xfId="1" applyFont="1" applyAlignment="1">
      <alignment vertical="center" wrapText="1"/>
    </xf>
    <xf numFmtId="0" fontId="29" fillId="0" borderId="71" xfId="0" applyFont="1" applyFill="1" applyBorder="1" applyAlignment="1">
      <alignment horizontal="center" vertical="center" wrapText="1" readingOrder="1"/>
    </xf>
    <xf numFmtId="0" fontId="30" fillId="27" borderId="66" xfId="0" applyFont="1" applyFill="1" applyBorder="1" applyAlignment="1">
      <alignment horizontal="center" vertical="center" wrapText="1" readingOrder="1"/>
    </xf>
    <xf numFmtId="0" fontId="30" fillId="28" borderId="69" xfId="0" applyFont="1" applyFill="1" applyBorder="1" applyAlignment="1">
      <alignment horizontal="center" vertical="center" wrapText="1" readingOrder="1"/>
    </xf>
    <xf numFmtId="0" fontId="31" fillId="28" borderId="69" xfId="0" applyFont="1" applyFill="1" applyBorder="1" applyAlignment="1">
      <alignment horizontal="center" vertical="center" wrapText="1" readingOrder="1"/>
    </xf>
    <xf numFmtId="0" fontId="10" fillId="18" borderId="69" xfId="0" applyFont="1" applyFill="1" applyBorder="1" applyAlignment="1">
      <alignment horizontal="center" vertical="center" wrapText="1" readingOrder="1"/>
    </xf>
    <xf numFmtId="0" fontId="30" fillId="27" borderId="69" xfId="0" applyFont="1" applyFill="1" applyBorder="1" applyAlignment="1">
      <alignment horizontal="center" vertical="center" wrapText="1" readingOrder="1"/>
    </xf>
    <xf numFmtId="3" fontId="31" fillId="27" borderId="69" xfId="0" applyNumberFormat="1" applyFont="1" applyFill="1" applyBorder="1" applyAlignment="1">
      <alignment horizontal="center" vertical="center" wrapText="1" readingOrder="1"/>
    </xf>
    <xf numFmtId="3" fontId="10" fillId="23" borderId="69" xfId="0" applyNumberFormat="1" applyFont="1" applyFill="1" applyBorder="1" applyAlignment="1">
      <alignment horizontal="center" vertical="center" wrapText="1" readingOrder="1"/>
    </xf>
    <xf numFmtId="3" fontId="31" fillId="28" borderId="69" xfId="0" applyNumberFormat="1" applyFont="1" applyFill="1" applyBorder="1" applyAlignment="1">
      <alignment horizontal="center" vertical="center" wrapText="1" readingOrder="1"/>
    </xf>
    <xf numFmtId="3" fontId="10" fillId="18" borderId="70" xfId="0" applyNumberFormat="1" applyFont="1" applyFill="1" applyBorder="1" applyAlignment="1">
      <alignment horizontal="center" vertical="center" wrapText="1" readingOrder="1"/>
    </xf>
    <xf numFmtId="9" fontId="31" fillId="27" borderId="69" xfId="0" applyNumberFormat="1" applyFont="1" applyFill="1" applyBorder="1" applyAlignment="1">
      <alignment horizontal="center" vertical="center" wrapText="1" readingOrder="1"/>
    </xf>
    <xf numFmtId="9" fontId="10" fillId="23" borderId="69" xfId="1" applyFont="1" applyFill="1" applyBorder="1" applyAlignment="1">
      <alignment horizontal="center" vertical="center" wrapText="1" readingOrder="1"/>
    </xf>
    <xf numFmtId="9" fontId="31" fillId="28" borderId="69" xfId="0" applyNumberFormat="1" applyFont="1" applyFill="1" applyBorder="1" applyAlignment="1">
      <alignment horizontal="center" vertical="center" wrapText="1" readingOrder="1"/>
    </xf>
    <xf numFmtId="9" fontId="10" fillId="18" borderId="69" xfId="0" applyNumberFormat="1" applyFont="1" applyFill="1" applyBorder="1" applyAlignment="1">
      <alignment horizontal="center" vertical="center" wrapText="1" readingOrder="1"/>
    </xf>
    <xf numFmtId="1" fontId="8" fillId="0" borderId="54" xfId="0" applyNumberFormat="1" applyFont="1" applyBorder="1" applyAlignment="1">
      <alignment vertical="center" wrapText="1"/>
    </xf>
    <xf numFmtId="1" fontId="8" fillId="0" borderId="6" xfId="0" applyNumberFormat="1" applyFont="1" applyBorder="1" applyAlignment="1">
      <alignment vertical="center" wrapText="1"/>
    </xf>
    <xf numFmtId="2" fontId="8" fillId="0" borderId="4" xfId="0" applyNumberFormat="1" applyFont="1" applyFill="1" applyBorder="1" applyAlignment="1">
      <alignment vertical="center" wrapText="1"/>
    </xf>
    <xf numFmtId="2" fontId="8" fillId="0" borderId="18" xfId="0" applyNumberFormat="1" applyFont="1" applyFill="1" applyBorder="1" applyAlignment="1">
      <alignment vertical="center" wrapText="1"/>
    </xf>
    <xf numFmtId="9" fontId="8" fillId="0" borderId="5" xfId="1" applyNumberFormat="1" applyFont="1" applyBorder="1" applyAlignment="1">
      <alignment vertical="center" wrapText="1"/>
    </xf>
    <xf numFmtId="9" fontId="0" fillId="0" borderId="4" xfId="1" applyNumberFormat="1" applyFont="1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10" fillId="37" borderId="50" xfId="0" applyFont="1" applyFill="1" applyBorder="1" applyAlignment="1">
      <alignment horizontal="center" vertical="center"/>
    </xf>
    <xf numFmtId="0" fontId="10" fillId="37" borderId="50" xfId="0" applyFont="1" applyFill="1" applyBorder="1" applyAlignment="1">
      <alignment horizontal="center" vertical="center" wrapText="1"/>
    </xf>
    <xf numFmtId="0" fontId="2" fillId="23" borderId="31" xfId="0" applyFont="1" applyFill="1" applyBorder="1" applyAlignment="1">
      <alignment horizontal="center" vertical="center" wrapText="1"/>
    </xf>
    <xf numFmtId="0" fontId="2" fillId="23" borderId="58" xfId="0" applyFont="1" applyFill="1" applyBorder="1" applyAlignment="1">
      <alignment horizontal="center" vertical="center" wrapText="1"/>
    </xf>
    <xf numFmtId="0" fontId="2" fillId="23" borderId="57" xfId="0" applyFont="1" applyFill="1" applyBorder="1" applyAlignment="1">
      <alignment horizontal="center" vertical="center" wrapText="1"/>
    </xf>
    <xf numFmtId="0" fontId="0" fillId="23" borderId="53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11" borderId="0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15" borderId="22" xfId="0" applyFont="1" applyFill="1" applyBorder="1" applyAlignment="1">
      <alignment horizontal="center" vertical="center" wrapText="1"/>
    </xf>
    <xf numFmtId="0" fontId="10" fillId="15" borderId="39" xfId="0" applyFont="1" applyFill="1" applyBorder="1" applyAlignment="1">
      <alignment horizontal="center" vertical="center" wrapText="1"/>
    </xf>
    <xf numFmtId="0" fontId="10" fillId="15" borderId="40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0" borderId="31" xfId="0" applyFont="1" applyFill="1" applyBorder="1" applyAlignment="1">
      <alignment horizontal="center" vertical="center" wrapText="1"/>
    </xf>
    <xf numFmtId="0" fontId="2" fillId="20" borderId="58" xfId="0" applyFont="1" applyFill="1" applyBorder="1" applyAlignment="1">
      <alignment horizontal="center" vertical="center" wrapText="1"/>
    </xf>
    <xf numFmtId="0" fontId="2" fillId="20" borderId="57" xfId="0" applyFont="1" applyFill="1" applyBorder="1" applyAlignment="1">
      <alignment horizontal="center" vertical="center" wrapText="1"/>
    </xf>
    <xf numFmtId="0" fontId="0" fillId="20" borderId="53" xfId="0" applyFill="1" applyBorder="1" applyAlignment="1">
      <alignment horizontal="center" vertical="center" wrapText="1"/>
    </xf>
    <xf numFmtId="0" fontId="12" fillId="15" borderId="71" xfId="0" applyFont="1" applyFill="1" applyBorder="1" applyAlignment="1">
      <alignment horizontal="center" vertical="center" wrapText="1" readingOrder="1"/>
    </xf>
    <xf numFmtId="0" fontId="12" fillId="15" borderId="73" xfId="0" applyFont="1" applyFill="1" applyBorder="1" applyAlignment="1">
      <alignment horizontal="center" vertical="center" wrapText="1" readingOrder="1"/>
    </xf>
    <xf numFmtId="0" fontId="12" fillId="36" borderId="71" xfId="0" applyFont="1" applyFill="1" applyBorder="1" applyAlignment="1">
      <alignment horizontal="center" vertical="center" wrapText="1" readingOrder="1"/>
    </xf>
    <xf numFmtId="0" fontId="12" fillId="36" borderId="0" xfId="0" applyFont="1" applyFill="1" applyBorder="1" applyAlignment="1">
      <alignment horizontal="center" vertical="center" wrapText="1" readingOrder="1"/>
    </xf>
    <xf numFmtId="0" fontId="11" fillId="29" borderId="72" xfId="0" applyFont="1" applyFill="1" applyBorder="1" applyAlignment="1">
      <alignment horizontal="center" vertical="center" wrapText="1" readingOrder="1"/>
    </xf>
    <xf numFmtId="0" fontId="11" fillId="29" borderId="75" xfId="0" applyFont="1" applyFill="1" applyBorder="1" applyAlignment="1">
      <alignment horizontal="center" vertical="center" wrapText="1" readingOrder="1"/>
    </xf>
    <xf numFmtId="0" fontId="0" fillId="7" borderId="51" xfId="0" applyFill="1" applyBorder="1" applyAlignment="1">
      <alignment horizontal="center" vertical="center" wrapText="1"/>
    </xf>
    <xf numFmtId="0" fontId="0" fillId="7" borderId="50" xfId="0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13" borderId="58" xfId="0" applyFont="1" applyFill="1" applyBorder="1" applyAlignment="1">
      <alignment horizontal="center" vertical="center" wrapText="1"/>
    </xf>
    <xf numFmtId="0" fontId="2" fillId="13" borderId="57" xfId="0" applyFont="1" applyFill="1" applyBorder="1" applyAlignment="1">
      <alignment horizontal="center" vertical="center" wrapText="1"/>
    </xf>
    <xf numFmtId="0" fontId="2" fillId="17" borderId="31" xfId="0" applyFont="1" applyFill="1" applyBorder="1" applyAlignment="1">
      <alignment horizontal="center" vertical="center" wrapText="1"/>
    </xf>
    <xf numFmtId="0" fontId="2" fillId="17" borderId="58" xfId="0" applyFont="1" applyFill="1" applyBorder="1" applyAlignment="1">
      <alignment horizontal="center" vertical="center" wrapText="1"/>
    </xf>
    <xf numFmtId="0" fontId="2" fillId="17" borderId="57" xfId="0" applyFont="1" applyFill="1" applyBorder="1" applyAlignment="1">
      <alignment horizontal="center" vertical="center" wrapText="1"/>
    </xf>
    <xf numFmtId="0" fontId="11" fillId="9" borderId="72" xfId="0" applyFont="1" applyFill="1" applyBorder="1" applyAlignment="1">
      <alignment horizontal="center" vertical="center" wrapText="1" readingOrder="1"/>
    </xf>
    <xf numFmtId="0" fontId="12" fillId="22" borderId="71" xfId="0" applyFont="1" applyFill="1" applyBorder="1" applyAlignment="1">
      <alignment horizontal="center" vertical="center" wrapText="1" readingOrder="1"/>
    </xf>
    <xf numFmtId="0" fontId="12" fillId="22" borderId="73" xfId="0" applyFont="1" applyFill="1" applyBorder="1" applyAlignment="1">
      <alignment horizontal="center" vertical="center" wrapText="1" readingOrder="1"/>
    </xf>
    <xf numFmtId="0" fontId="11" fillId="24" borderId="71" xfId="0" applyFont="1" applyFill="1" applyBorder="1" applyAlignment="1">
      <alignment horizontal="center" vertical="center" wrapText="1" readingOrder="1"/>
    </xf>
    <xf numFmtId="0" fontId="11" fillId="24" borderId="0" xfId="0" applyFont="1" applyFill="1" applyBorder="1" applyAlignment="1">
      <alignment horizontal="center" vertical="center" wrapText="1" readingOrder="1"/>
    </xf>
    <xf numFmtId="0" fontId="29" fillId="8" borderId="71" xfId="0" applyFont="1" applyFill="1" applyBorder="1" applyAlignment="1">
      <alignment horizontal="center" vertical="center" wrapText="1" readingOrder="1"/>
    </xf>
    <xf numFmtId="0" fontId="29" fillId="8" borderId="73" xfId="0" applyFont="1" applyFill="1" applyBorder="1" applyAlignment="1">
      <alignment horizontal="center" vertical="center" wrapText="1" readingOrder="1"/>
    </xf>
    <xf numFmtId="0" fontId="23" fillId="23" borderId="72" xfId="0" applyFont="1" applyFill="1" applyBorder="1" applyAlignment="1">
      <alignment horizontal="center" vertical="center" wrapText="1" readingOrder="1"/>
    </xf>
    <xf numFmtId="0" fontId="23" fillId="23" borderId="75" xfId="0" applyFont="1" applyFill="1" applyBorder="1" applyAlignment="1">
      <alignment horizontal="center" vertical="center" wrapText="1" readingOrder="1"/>
    </xf>
    <xf numFmtId="0" fontId="29" fillId="34" borderId="71" xfId="0" applyFont="1" applyFill="1" applyBorder="1" applyAlignment="1">
      <alignment horizontal="center" vertical="center" wrapText="1" readingOrder="1"/>
    </xf>
    <xf numFmtId="0" fontId="29" fillId="34" borderId="0" xfId="0" applyFont="1" applyFill="1" applyBorder="1" applyAlignment="1">
      <alignment horizontal="center" vertical="center" wrapText="1" readingOrder="1"/>
    </xf>
    <xf numFmtId="0" fontId="2" fillId="18" borderId="1" xfId="0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4">
    <cellStyle name="Millares" xfId="2" builtinId="3"/>
    <cellStyle name="Millares [0]" xfId="3" builtinId="6"/>
    <cellStyle name="Normal" xfId="0" builtinId="0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Miraflores!$J$23</c:f>
              <c:strCache>
                <c:ptCount val="1"/>
                <c:pt idx="0">
                  <c:v>Muerto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Miraflores!$C$24:$C$37</c:f>
              <c:numCache>
                <c:formatCode>yyyy</c:formatCode>
                <c:ptCount val="14"/>
                <c:pt idx="0">
                  <c:v>36465</c:v>
                </c:pt>
                <c:pt idx="1">
                  <c:v>38139</c:v>
                </c:pt>
                <c:pt idx="2">
                  <c:v>39508</c:v>
                </c:pt>
                <c:pt idx="3">
                  <c:v>41949</c:v>
                </c:pt>
              </c:numCache>
            </c:numRef>
          </c:cat>
          <c:val>
            <c:numRef>
              <c:f>Miraflores!$J$24:$J$37</c:f>
              <c:numCache>
                <c:formatCode>0.00</c:formatCode>
                <c:ptCount val="14"/>
                <c:pt idx="0">
                  <c:v>5.9175159315927885</c:v>
                </c:pt>
                <c:pt idx="1">
                  <c:v>6.3343404000000376</c:v>
                </c:pt>
                <c:pt idx="2">
                  <c:v>6.487548828125</c:v>
                </c:pt>
                <c:pt idx="3">
                  <c:v>8.0706812499999998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D-48E6-A175-C6FA56542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678208"/>
        <c:axId val="318678768"/>
      </c:lineChart>
      <c:dateAx>
        <c:axId val="318678208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8678768"/>
        <c:crosses val="autoZero"/>
        <c:auto val="1"/>
        <c:lblOffset val="100"/>
        <c:baseTimeUnit val="years"/>
      </c:dateAx>
      <c:valAx>
        <c:axId val="31867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867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Miraflores!$K$23</c:f>
              <c:strCache>
                <c:ptCount val="1"/>
                <c:pt idx="0">
                  <c:v>Util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Miraflores!$C$24:$C$37</c:f>
              <c:numCache>
                <c:formatCode>yyyy</c:formatCode>
                <c:ptCount val="14"/>
                <c:pt idx="0">
                  <c:v>36465</c:v>
                </c:pt>
                <c:pt idx="1">
                  <c:v>38139</c:v>
                </c:pt>
                <c:pt idx="2">
                  <c:v>39508</c:v>
                </c:pt>
                <c:pt idx="3">
                  <c:v>41949</c:v>
                </c:pt>
              </c:numCache>
            </c:numRef>
          </c:cat>
          <c:val>
            <c:numRef>
              <c:f>Miraflores!$K$24:$K$37</c:f>
              <c:numCache>
                <c:formatCode>0.00</c:formatCode>
                <c:ptCount val="14"/>
                <c:pt idx="0">
                  <c:v>90.711804000000001</c:v>
                </c:pt>
                <c:pt idx="1">
                  <c:v>93.537009999873874</c:v>
                </c:pt>
                <c:pt idx="2">
                  <c:v>95.53125</c:v>
                </c:pt>
                <c:pt idx="3">
                  <c:v>96.579171874999986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5-4940-A625-7BF3B3FD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681008"/>
        <c:axId val="318681568"/>
      </c:lineChart>
      <c:dateAx>
        <c:axId val="318681008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8681568"/>
        <c:crosses val="autoZero"/>
        <c:auto val="1"/>
        <c:lblOffset val="100"/>
        <c:baseTimeUnit val="years"/>
      </c:dateAx>
      <c:valAx>
        <c:axId val="31868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868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Miraflores!$L$23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Miraflores!$C$24:$C$37</c:f>
              <c:numCache>
                <c:formatCode>yyyy</c:formatCode>
                <c:ptCount val="14"/>
                <c:pt idx="0">
                  <c:v>36465</c:v>
                </c:pt>
                <c:pt idx="1">
                  <c:v>38139</c:v>
                </c:pt>
                <c:pt idx="2">
                  <c:v>39508</c:v>
                </c:pt>
                <c:pt idx="3">
                  <c:v>41949</c:v>
                </c:pt>
              </c:numCache>
            </c:numRef>
          </c:cat>
          <c:val>
            <c:numRef>
              <c:f>Miraflores!$L$24:$L$37</c:f>
              <c:numCache>
                <c:formatCode>0.00</c:formatCode>
                <c:ptCount val="14"/>
                <c:pt idx="0">
                  <c:v>101.32</c:v>
                </c:pt>
                <c:pt idx="1">
                  <c:v>105.41969999987388</c:v>
                </c:pt>
                <c:pt idx="2">
                  <c:v>107.030517578125</c:v>
                </c:pt>
                <c:pt idx="3">
                  <c:v>110.2880625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9-4638-B6CC-939CF6C95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201792"/>
        <c:axId val="319202352"/>
      </c:lineChart>
      <c:dateAx>
        <c:axId val="319201792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9202352"/>
        <c:crosses val="autoZero"/>
        <c:auto val="1"/>
        <c:lblOffset val="100"/>
        <c:baseTimeUnit val="years"/>
      </c:dateAx>
      <c:valAx>
        <c:axId val="31920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920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</cx:chartData>
  <cx:chart>
    <cx:title pos="t" align="ctr" overlay="0">
      <cx:tx>
        <cx:txData>
          <cx:v>Tasa de Sedimentación Anual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Tasa de Sedimentación Anual</a:t>
          </a:r>
        </a:p>
      </cx:txPr>
    </cx:title>
    <cx:plotArea>
      <cx:plotAreaRegion>
        <cx:series layoutId="boxWhisker" uniqueId="{70796D55-C5ED-45B5-8496-F8BD84EAF5CE}">
          <cx:tx>
            <cx:txData>
              <cx:f>_xlchart.v1.0</cx:f>
              <cx:v>Vol Muerto</cx:v>
            </cx:txData>
          </cx:tx>
          <cx:dataLabels pos="r">
            <cx:visibility seriesName="0" categoryName="0" value="1"/>
            <cx:separator>, </cx:separator>
          </cx:dataLabels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F9D08863-1606-4785-AE7E-2379D1C9C1EE}">
          <cx:tx>
            <cx:txData>
              <cx:f>_xlchart.v1.2</cx:f>
              <cx:v>Vol Util</cx:v>
            </cx:txData>
          </cx:tx>
          <cx:dataLabels pos="r">
            <cx:visibility seriesName="0" categoryName="0" value="1"/>
            <cx:separator>, </cx:separator>
          </cx:dataLabels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58DA468-F030-4169-9CC8-8FB577EFD5B7}">
          <cx:tx>
            <cx:txData>
              <cx:f>_xlchart.v1.4</cx:f>
              <cx:v>Vol Total</cx:v>
            </cx:txData>
          </cx:tx>
          <cx:dataLabels pos="r">
            <cx:visibility seriesName="0" categoryName="0" value="1"/>
            <cx:separator>, </cx:separator>
          </cx:dataLabels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9</xdr:col>
      <xdr:colOff>139700</xdr:colOff>
      <xdr:row>77</xdr:row>
      <xdr:rowOff>44450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8E936ACC-92AF-450F-900E-06E9849E0F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5650" y="11537950"/>
              <a:ext cx="8858250" cy="5016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581379</xdr:colOff>
      <xdr:row>14</xdr:row>
      <xdr:rowOff>173172</xdr:rowOff>
    </xdr:to>
    <xdr:pic>
      <xdr:nvPicPr>
        <xdr:cNvPr id="2" name="Picture 1" descr="Volúmenes Característicos">
          <a:extLst>
            <a:ext uri="{FF2B5EF4-FFF2-40B4-BE49-F238E27FC236}">
              <a16:creationId xmlns:a16="http://schemas.microsoft.com/office/drawing/2014/main" id="{BA249961-9CCF-4D57-BD86-46CA5A47C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0"/>
          <a:ext cx="7191729" cy="2840172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44</xdr:row>
      <xdr:rowOff>15875</xdr:rowOff>
    </xdr:from>
    <xdr:to>
      <xdr:col>6</xdr:col>
      <xdr:colOff>212725</xdr:colOff>
      <xdr:row>58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B77C4A-5D64-4994-8AB5-410D92AFA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768350</xdr:colOff>
      <xdr:row>44</xdr:row>
      <xdr:rowOff>0</xdr:rowOff>
    </xdr:from>
    <xdr:to>
      <xdr:col>13</xdr:col>
      <xdr:colOff>615950</xdr:colOff>
      <xdr:row>58</xdr:row>
      <xdr:rowOff>165100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24871C-F600-4E0B-A513-98CB03904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85725</xdr:colOff>
      <xdr:row>44</xdr:row>
      <xdr:rowOff>15875</xdr:rowOff>
    </xdr:from>
    <xdr:to>
      <xdr:col>20</xdr:col>
      <xdr:colOff>209550</xdr:colOff>
      <xdr:row>58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9EE68E5-69DA-44D6-B98D-622A0E67F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483407</xdr:colOff>
      <xdr:row>14</xdr:row>
      <xdr:rowOff>173172</xdr:rowOff>
    </xdr:to>
    <xdr:pic>
      <xdr:nvPicPr>
        <xdr:cNvPr id="2" name="Picture 1" descr="Volúmenes Característicos">
          <a:extLst>
            <a:ext uri="{FF2B5EF4-FFF2-40B4-BE49-F238E27FC236}">
              <a16:creationId xmlns:a16="http://schemas.microsoft.com/office/drawing/2014/main" id="{35FA9266-ECDF-42AD-B148-32D49D336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7208057" cy="2840172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104775</xdr:rowOff>
    </xdr:from>
    <xdr:to>
      <xdr:col>11</xdr:col>
      <xdr:colOff>38454</xdr:colOff>
      <xdr:row>15</xdr:row>
      <xdr:rowOff>87447</xdr:rowOff>
    </xdr:to>
    <xdr:pic>
      <xdr:nvPicPr>
        <xdr:cNvPr id="2" name="Picture 1" descr="Volúmenes Característicos">
          <a:extLst>
            <a:ext uri="{FF2B5EF4-FFF2-40B4-BE49-F238E27FC236}">
              <a16:creationId xmlns:a16="http://schemas.microsoft.com/office/drawing/2014/main" id="{626E2959-8F3C-4BF7-B3A3-183A5AAD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04775"/>
          <a:ext cx="7544154" cy="2840172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man.becerra\AppData\Local\Microsoft\Windows\INetCache\Content.Outlook\UJC8H3XA\batimetrias_oficiales_sin_v01_oct042018_ModE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 PRESENTACION (EMB CI)"/>
      <sheetName val="TABLA GNAL (EMBALSES CI)"/>
      <sheetName val="TABLA GNAL"/>
      <sheetName val="INFORMACION ENTRADA"/>
      <sheetName val="TABLAS PRESENTACION"/>
      <sheetName val="Playas"/>
      <sheetName val="Guatapé"/>
      <sheetName val="RiograndeII"/>
      <sheetName val="Miraflores"/>
      <sheetName val="Troneras"/>
      <sheetName val="Porce II"/>
      <sheetName val="Porce III"/>
      <sheetName val="Riogrande I"/>
      <sheetName val="San Carlos - Punchiná"/>
      <sheetName val="Jaguas - San Lorenzo"/>
      <sheetName val="Miel I - Amaní"/>
      <sheetName val="Sogamoso - Topocoro"/>
      <sheetName val="EPSA - ALTO ANCHICAYA"/>
      <sheetName val="EPSA - SALVAJINA"/>
      <sheetName val="EPSA - CALIMA"/>
      <sheetName val="EPSA - PRADO"/>
      <sheetName val="GUAVIO"/>
      <sheetName val="BETANIA"/>
      <sheetName val="QUIMBO"/>
      <sheetName val="SISGA"/>
      <sheetName val="TOMINE"/>
      <sheetName val="NEUSA"/>
      <sheetName val="CHUZA"/>
      <sheetName val="MUÑA"/>
      <sheetName val="URRÁ S.A. E..S.P. - URRÁ"/>
      <sheetName val="AES - COLOMB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C24">
            <v>21337</v>
          </cell>
          <cell r="D24">
            <v>1</v>
          </cell>
        </row>
        <row r="25">
          <cell r="C25">
            <v>28399</v>
          </cell>
          <cell r="E25">
            <v>1</v>
          </cell>
        </row>
        <row r="26">
          <cell r="C26">
            <v>30286</v>
          </cell>
          <cell r="E26">
            <v>1</v>
          </cell>
        </row>
        <row r="27">
          <cell r="C27">
            <v>35476</v>
          </cell>
          <cell r="F27">
            <v>1</v>
          </cell>
        </row>
        <row r="28">
          <cell r="C28">
            <v>37361</v>
          </cell>
          <cell r="F28">
            <v>1</v>
          </cell>
        </row>
        <row r="29">
          <cell r="C29">
            <v>38913</v>
          </cell>
          <cell r="F29">
            <v>1</v>
          </cell>
        </row>
        <row r="30">
          <cell r="C30">
            <v>40040</v>
          </cell>
          <cell r="F30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7AD7E-1000-4FC1-B639-D908F57B6D3C}">
  <sheetPr codeName="Hoja4">
    <tabColor rgb="FFFFC000"/>
  </sheetPr>
  <dimension ref="A1:W37"/>
  <sheetViews>
    <sheetView showGridLines="0" topLeftCell="B1" zoomScale="115" zoomScaleNormal="115" workbookViewId="0">
      <pane ySplit="3" topLeftCell="A4" activePane="bottomLeft" state="frozen"/>
      <selection pane="bottomLeft" activeCell="A4" sqref="A4"/>
    </sheetView>
  </sheetViews>
  <sheetFormatPr baseColWidth="10" defaultColWidth="10.81640625" defaultRowHeight="14.5" x14ac:dyDescent="0.35"/>
  <cols>
    <col min="1" max="1" width="10.81640625" style="93"/>
    <col min="2" max="2" width="19.453125" style="82" bestFit="1" customWidth="1"/>
    <col min="3" max="3" width="29.453125" style="93" customWidth="1"/>
    <col min="4" max="4" width="23.7265625" style="82" customWidth="1"/>
    <col min="5" max="5" width="48.7265625" style="93" customWidth="1"/>
    <col min="6" max="6" width="15.26953125" style="93" customWidth="1"/>
    <col min="7" max="7" width="21" style="93" customWidth="1"/>
    <col min="8" max="8" width="22.7265625" style="93" bestFit="1" customWidth="1"/>
    <col min="9" max="9" width="11.26953125" style="93" customWidth="1"/>
    <col min="10" max="10" width="20.26953125" style="93" customWidth="1"/>
    <col min="11" max="15" width="15.54296875" style="93" customWidth="1"/>
    <col min="16" max="17" width="10.81640625" style="93"/>
    <col min="18" max="18" width="20.54296875" style="82" customWidth="1"/>
    <col min="19" max="23" width="15.54296875" style="93" customWidth="1"/>
    <col min="24" max="16384" width="10.81640625" style="93"/>
  </cols>
  <sheetData>
    <row r="1" spans="1:18" x14ac:dyDescent="0.35">
      <c r="C1" s="441"/>
      <c r="D1" s="440"/>
      <c r="E1" s="441"/>
      <c r="F1" s="441"/>
      <c r="G1" s="441"/>
    </row>
    <row r="2" spans="1:18" x14ac:dyDescent="0.35">
      <c r="B2" s="691" t="s">
        <v>189</v>
      </c>
      <c r="C2" s="692" t="s">
        <v>192</v>
      </c>
      <c r="D2" s="692"/>
      <c r="E2" s="692" t="s">
        <v>203</v>
      </c>
      <c r="F2" s="692" t="s">
        <v>193</v>
      </c>
      <c r="G2" s="442"/>
      <c r="H2" s="580"/>
      <c r="I2" s="580"/>
      <c r="J2" s="580"/>
      <c r="K2" s="580"/>
      <c r="O2" s="82"/>
      <c r="R2" s="93"/>
    </row>
    <row r="3" spans="1:18" x14ac:dyDescent="0.35">
      <c r="B3" s="691"/>
      <c r="C3" s="627" t="s">
        <v>190</v>
      </c>
      <c r="D3" s="627" t="s">
        <v>191</v>
      </c>
      <c r="E3" s="692"/>
      <c r="F3" s="692"/>
      <c r="G3" s="442"/>
      <c r="H3" s="580"/>
      <c r="I3" s="581"/>
      <c r="J3" s="581"/>
      <c r="K3" s="581"/>
      <c r="O3" s="82"/>
      <c r="R3" s="93"/>
    </row>
    <row r="4" spans="1:18" ht="145" x14ac:dyDescent="0.35">
      <c r="B4" s="690" t="s">
        <v>19</v>
      </c>
      <c r="C4" s="555" t="s">
        <v>195</v>
      </c>
      <c r="D4" s="622">
        <v>44088</v>
      </c>
      <c r="E4" s="121"/>
      <c r="F4" s="555" t="s">
        <v>194</v>
      </c>
      <c r="G4" s="580"/>
      <c r="H4" s="580"/>
      <c r="I4" s="580"/>
      <c r="J4" s="580"/>
      <c r="K4" s="580"/>
      <c r="O4" s="82"/>
      <c r="R4" s="93"/>
    </row>
    <row r="5" spans="1:18" ht="43.5" x14ac:dyDescent="0.35">
      <c r="B5" s="690"/>
      <c r="C5" s="623" t="s">
        <v>204</v>
      </c>
      <c r="D5" s="622">
        <v>44119</v>
      </c>
      <c r="E5" s="624" t="s">
        <v>214</v>
      </c>
      <c r="F5" s="555"/>
      <c r="G5" s="580"/>
      <c r="H5" s="580"/>
      <c r="I5" s="580"/>
      <c r="J5" s="580"/>
      <c r="K5" s="580"/>
      <c r="O5" s="82"/>
      <c r="R5" s="93"/>
    </row>
    <row r="6" spans="1:18" ht="29" x14ac:dyDescent="0.35">
      <c r="B6" s="625" t="s">
        <v>48</v>
      </c>
      <c r="C6" s="623" t="s">
        <v>204</v>
      </c>
      <c r="D6" s="622">
        <v>44088</v>
      </c>
      <c r="E6" s="624" t="s">
        <v>205</v>
      </c>
      <c r="F6" s="555"/>
      <c r="G6" s="582"/>
      <c r="H6" s="580"/>
      <c r="I6" s="580"/>
      <c r="J6" s="580"/>
      <c r="K6" s="580"/>
      <c r="O6" s="82"/>
      <c r="R6" s="93"/>
    </row>
    <row r="7" spans="1:18" x14ac:dyDescent="0.35">
      <c r="B7" s="626" t="s">
        <v>206</v>
      </c>
      <c r="C7" s="623" t="s">
        <v>204</v>
      </c>
      <c r="D7" s="622">
        <v>44119</v>
      </c>
      <c r="E7" s="623" t="s">
        <v>207</v>
      </c>
      <c r="F7" s="555"/>
      <c r="G7" s="580"/>
      <c r="H7" s="580"/>
      <c r="I7" s="580"/>
      <c r="J7" s="580"/>
      <c r="K7" s="580"/>
      <c r="O7" s="82"/>
      <c r="R7" s="93"/>
    </row>
    <row r="8" spans="1:18" x14ac:dyDescent="0.35">
      <c r="B8" s="626" t="s">
        <v>66</v>
      </c>
      <c r="C8" s="623" t="s">
        <v>204</v>
      </c>
      <c r="D8" s="622">
        <v>44119</v>
      </c>
      <c r="E8" s="121" t="s">
        <v>208</v>
      </c>
      <c r="F8" s="555"/>
    </row>
    <row r="9" spans="1:18" ht="261" x14ac:dyDescent="0.35">
      <c r="B9" s="626" t="s">
        <v>47</v>
      </c>
      <c r="C9" s="555" t="s">
        <v>209</v>
      </c>
      <c r="D9" s="622">
        <v>44088</v>
      </c>
      <c r="E9" s="121"/>
      <c r="F9" s="555" t="s">
        <v>210</v>
      </c>
    </row>
    <row r="10" spans="1:18" x14ac:dyDescent="0.35">
      <c r="B10" s="626" t="s">
        <v>211</v>
      </c>
      <c r="C10" s="623" t="s">
        <v>204</v>
      </c>
      <c r="D10" s="622">
        <v>44088</v>
      </c>
      <c r="E10" s="121" t="s">
        <v>212</v>
      </c>
      <c r="F10" s="555"/>
    </row>
    <row r="11" spans="1:18" x14ac:dyDescent="0.35">
      <c r="A11" s="82"/>
      <c r="B11" s="353"/>
      <c r="C11" s="579"/>
      <c r="D11" s="591"/>
      <c r="E11" s="579"/>
      <c r="F11" s="579"/>
      <c r="G11" s="579"/>
      <c r="H11" s="579"/>
    </row>
    <row r="12" spans="1:18" x14ac:dyDescent="0.35">
      <c r="A12" s="563"/>
      <c r="B12" s="353"/>
      <c r="C12" s="562"/>
      <c r="D12" s="591"/>
      <c r="E12" s="562"/>
      <c r="F12" s="562"/>
      <c r="G12" s="562"/>
      <c r="H12" s="562"/>
    </row>
    <row r="13" spans="1:18" x14ac:dyDescent="0.35">
      <c r="C13" s="223"/>
      <c r="D13" s="591"/>
      <c r="E13" s="223"/>
      <c r="F13" s="583"/>
      <c r="G13" s="583"/>
      <c r="H13" s="583"/>
    </row>
    <row r="14" spans="1:18" x14ac:dyDescent="0.35">
      <c r="C14" s="223"/>
      <c r="D14" s="591"/>
      <c r="E14" s="223"/>
      <c r="F14" s="583"/>
      <c r="G14" s="583"/>
      <c r="H14" s="583"/>
    </row>
    <row r="15" spans="1:18" x14ac:dyDescent="0.35">
      <c r="B15" s="588"/>
      <c r="C15" s="223"/>
      <c r="D15" s="591"/>
      <c r="E15" s="223"/>
      <c r="F15" s="583"/>
      <c r="G15" s="583"/>
      <c r="H15" s="583"/>
    </row>
    <row r="16" spans="1:18" x14ac:dyDescent="0.35">
      <c r="C16" s="584"/>
    </row>
    <row r="19" spans="1:23" ht="15" customHeight="1" x14ac:dyDescent="0.35">
      <c r="A19" s="82"/>
      <c r="B19" s="353"/>
      <c r="C19" s="579"/>
      <c r="D19" s="562"/>
      <c r="E19" s="579"/>
      <c r="F19" s="579"/>
      <c r="G19" s="579"/>
      <c r="H19" s="579"/>
    </row>
    <row r="20" spans="1:23" x14ac:dyDescent="0.35">
      <c r="A20" s="563"/>
      <c r="B20" s="353"/>
      <c r="C20" s="562"/>
      <c r="D20" s="562"/>
      <c r="E20" s="562"/>
      <c r="F20" s="562"/>
      <c r="G20" s="562"/>
      <c r="H20" s="562"/>
    </row>
    <row r="21" spans="1:23" x14ac:dyDescent="0.35">
      <c r="C21" s="223"/>
      <c r="D21" s="223"/>
      <c r="E21" s="223"/>
      <c r="F21" s="583"/>
      <c r="G21" s="583"/>
      <c r="H21" s="583"/>
    </row>
    <row r="22" spans="1:23" x14ac:dyDescent="0.35">
      <c r="C22" s="223"/>
      <c r="D22" s="223"/>
      <c r="E22" s="223"/>
      <c r="F22" s="583"/>
      <c r="G22" s="583"/>
      <c r="H22" s="583"/>
    </row>
    <row r="23" spans="1:23" x14ac:dyDescent="0.35">
      <c r="B23" s="588"/>
      <c r="C23" s="223"/>
      <c r="D23" s="223"/>
      <c r="E23" s="223"/>
      <c r="F23" s="583"/>
      <c r="G23" s="583"/>
      <c r="H23" s="583"/>
    </row>
    <row r="25" spans="1:23" x14ac:dyDescent="0.35">
      <c r="B25" s="589"/>
      <c r="C25" s="584"/>
      <c r="D25" s="223"/>
      <c r="E25" s="584"/>
      <c r="F25" s="584"/>
      <c r="G25" s="584"/>
      <c r="H25" s="584"/>
    </row>
    <row r="26" spans="1:23" x14ac:dyDescent="0.35">
      <c r="C26" s="564"/>
      <c r="D26" s="564"/>
      <c r="E26" s="565"/>
      <c r="F26" s="565"/>
      <c r="G26" s="585"/>
      <c r="H26" s="585"/>
    </row>
    <row r="28" spans="1:23" s="586" customFormat="1" ht="24" customHeight="1" x14ac:dyDescent="0.35">
      <c r="B28" s="587"/>
      <c r="C28" s="577"/>
      <c r="D28" s="576"/>
      <c r="E28" s="577"/>
      <c r="F28" s="577"/>
      <c r="G28" s="577"/>
      <c r="K28" s="578"/>
      <c r="L28" s="578"/>
      <c r="M28" s="578"/>
      <c r="N28" s="578"/>
      <c r="O28" s="578"/>
      <c r="R28" s="587"/>
      <c r="S28" s="578"/>
      <c r="T28" s="578"/>
      <c r="U28" s="578"/>
      <c r="V28" s="578"/>
      <c r="W28" s="578"/>
    </row>
    <row r="29" spans="1:23" s="586" customFormat="1" ht="24" customHeight="1" x14ac:dyDescent="0.35">
      <c r="B29" s="483"/>
      <c r="C29" s="577"/>
      <c r="D29" s="576"/>
      <c r="E29" s="577"/>
      <c r="F29" s="577"/>
      <c r="G29" s="578"/>
      <c r="J29" s="483"/>
      <c r="K29" s="577"/>
      <c r="L29" s="577"/>
      <c r="M29" s="577"/>
      <c r="N29" s="577"/>
      <c r="O29" s="578"/>
      <c r="R29" s="483"/>
      <c r="S29" s="577"/>
      <c r="T29" s="577"/>
      <c r="U29" s="577"/>
      <c r="V29" s="577"/>
      <c r="W29" s="578"/>
    </row>
    <row r="30" spans="1:23" s="586" customFormat="1" ht="24.65" customHeight="1" x14ac:dyDescent="0.35">
      <c r="B30" s="483"/>
      <c r="C30" s="566"/>
      <c r="D30" s="566"/>
      <c r="E30" s="566"/>
      <c r="F30" s="566"/>
      <c r="G30" s="578"/>
      <c r="K30" s="564"/>
      <c r="L30" s="564"/>
      <c r="M30" s="564"/>
      <c r="N30" s="567"/>
      <c r="O30" s="578"/>
      <c r="R30" s="564"/>
      <c r="S30" s="564"/>
      <c r="T30" s="564"/>
      <c r="U30" s="564"/>
      <c r="V30" s="564"/>
      <c r="W30" s="578"/>
    </row>
    <row r="31" spans="1:23" s="586" customFormat="1" x14ac:dyDescent="0.35">
      <c r="B31" s="567"/>
      <c r="C31" s="568"/>
      <c r="D31" s="568"/>
      <c r="E31" s="568"/>
      <c r="F31" s="568"/>
      <c r="G31" s="569"/>
      <c r="J31" s="567"/>
      <c r="K31" s="570"/>
      <c r="L31" s="570"/>
      <c r="M31" s="570"/>
      <c r="N31" s="570"/>
      <c r="O31" s="569"/>
      <c r="R31" s="564"/>
      <c r="S31" s="564"/>
      <c r="T31" s="564"/>
      <c r="U31" s="564"/>
      <c r="V31" s="564"/>
      <c r="W31" s="569"/>
    </row>
    <row r="32" spans="1:23" s="586" customFormat="1" x14ac:dyDescent="0.35">
      <c r="B32" s="567"/>
      <c r="C32" s="566"/>
      <c r="D32" s="566"/>
      <c r="E32" s="566"/>
      <c r="F32" s="566"/>
      <c r="G32" s="571"/>
      <c r="J32" s="567"/>
      <c r="K32" s="566"/>
      <c r="L32" s="566"/>
      <c r="M32" s="566"/>
      <c r="N32" s="566"/>
      <c r="O32" s="571"/>
      <c r="R32" s="564"/>
      <c r="S32" s="566"/>
      <c r="T32" s="566"/>
      <c r="U32" s="566"/>
      <c r="V32" s="566"/>
      <c r="W32" s="571"/>
    </row>
    <row r="33" spans="2:23" s="586" customFormat="1" ht="71.25" customHeight="1" x14ac:dyDescent="0.35">
      <c r="B33" s="567"/>
      <c r="C33" s="566"/>
      <c r="D33" s="566"/>
      <c r="E33" s="566"/>
      <c r="F33" s="566"/>
      <c r="G33" s="571"/>
      <c r="J33" s="567"/>
      <c r="K33" s="566"/>
      <c r="L33" s="566"/>
      <c r="M33" s="566"/>
      <c r="N33" s="566"/>
      <c r="O33" s="571"/>
      <c r="R33" s="564"/>
      <c r="S33" s="566"/>
      <c r="T33" s="566"/>
      <c r="U33" s="566"/>
      <c r="V33" s="566"/>
      <c r="W33" s="571"/>
    </row>
    <row r="34" spans="2:23" s="586" customFormat="1" x14ac:dyDescent="0.35">
      <c r="B34" s="567"/>
      <c r="C34" s="572"/>
      <c r="D34" s="572"/>
      <c r="E34" s="572"/>
      <c r="F34" s="572"/>
      <c r="G34" s="573"/>
      <c r="J34" s="567"/>
      <c r="K34" s="572"/>
      <c r="L34" s="572"/>
      <c r="M34" s="572"/>
      <c r="N34" s="572"/>
      <c r="O34" s="573"/>
      <c r="R34" s="564"/>
      <c r="S34" s="572"/>
      <c r="T34" s="572"/>
      <c r="U34" s="572"/>
      <c r="V34" s="572"/>
      <c r="W34" s="573"/>
    </row>
    <row r="35" spans="2:23" s="586" customFormat="1" x14ac:dyDescent="0.35">
      <c r="B35" s="567"/>
      <c r="C35" s="572"/>
      <c r="D35" s="572"/>
      <c r="E35" s="572"/>
      <c r="F35" s="572"/>
      <c r="G35" s="574"/>
      <c r="J35" s="567"/>
      <c r="K35" s="572"/>
      <c r="L35" s="572"/>
      <c r="M35" s="572"/>
      <c r="N35" s="572"/>
      <c r="O35" s="575"/>
      <c r="R35" s="564"/>
      <c r="S35" s="572"/>
      <c r="T35" s="572"/>
      <c r="U35" s="572"/>
      <c r="V35" s="572"/>
      <c r="W35" s="574"/>
    </row>
    <row r="37" spans="2:23" x14ac:dyDescent="0.35">
      <c r="B37" s="590"/>
    </row>
  </sheetData>
  <mergeCells count="5">
    <mergeCell ref="B4:B5"/>
    <mergeCell ref="B2:B3"/>
    <mergeCell ref="E2:E3"/>
    <mergeCell ref="F2:F3"/>
    <mergeCell ref="C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>
    <tabColor theme="9" tint="-0.249977111117893"/>
  </sheetPr>
  <dimension ref="B17:Q42"/>
  <sheetViews>
    <sheetView workbookViewId="0"/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19</v>
      </c>
      <c r="E17" s="1" t="s">
        <v>72</v>
      </c>
    </row>
    <row r="18" spans="2:17" ht="15.5" x14ac:dyDescent="0.35">
      <c r="B18" s="7" t="s">
        <v>7</v>
      </c>
      <c r="C18" s="3" t="s">
        <v>27</v>
      </c>
    </row>
    <row r="19" spans="2:17" x14ac:dyDescent="0.35">
      <c r="B19" s="4"/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212"/>
      <c r="C24" s="595">
        <v>40506</v>
      </c>
      <c r="D24" s="202">
        <v>1</v>
      </c>
      <c r="E24" s="203"/>
      <c r="F24" s="203"/>
      <c r="G24" s="203"/>
      <c r="H24" s="203"/>
      <c r="I24" s="204"/>
      <c r="J24" s="198">
        <v>14.12</v>
      </c>
      <c r="K24" s="199">
        <v>126.59106800000001</v>
      </c>
      <c r="L24" s="200">
        <v>170.02106800000001</v>
      </c>
      <c r="M24" s="223"/>
      <c r="N24" s="35"/>
    </row>
    <row r="25" spans="2:17" x14ac:dyDescent="0.35">
      <c r="B25" s="210"/>
      <c r="C25" s="452">
        <v>42341</v>
      </c>
      <c r="D25" s="185"/>
      <c r="E25" s="186"/>
      <c r="F25" s="186"/>
      <c r="G25" s="186">
        <v>1</v>
      </c>
      <c r="H25" s="186">
        <v>1</v>
      </c>
      <c r="I25" s="187"/>
      <c r="J25" s="198">
        <v>16.238300956900002</v>
      </c>
      <c r="K25" s="199">
        <v>130.8670427552</v>
      </c>
      <c r="L25" s="200">
        <v>176.875029168</v>
      </c>
      <c r="M25" s="223"/>
    </row>
    <row r="26" spans="2:17" x14ac:dyDescent="0.35">
      <c r="B26" s="210"/>
      <c r="C26" s="596">
        <v>43731</v>
      </c>
      <c r="D26" s="185"/>
      <c r="E26" s="186"/>
      <c r="F26" s="186"/>
      <c r="G26" s="186">
        <v>1</v>
      </c>
      <c r="H26" s="186">
        <v>1</v>
      </c>
      <c r="I26" s="187"/>
      <c r="J26" s="198">
        <v>16.079999999999998</v>
      </c>
      <c r="K26" s="199">
        <v>131.30000000000001</v>
      </c>
      <c r="L26" s="200">
        <v>176.85</v>
      </c>
      <c r="M26" s="223"/>
    </row>
    <row r="27" spans="2:17" x14ac:dyDescent="0.35">
      <c r="B27" s="46"/>
      <c r="C27" s="50"/>
      <c r="D27" s="164"/>
      <c r="E27" s="10"/>
      <c r="F27" s="10"/>
      <c r="G27" s="10"/>
      <c r="H27" s="10"/>
      <c r="I27" s="163"/>
      <c r="J27" s="90"/>
      <c r="K27" s="91"/>
      <c r="L27" s="92"/>
      <c r="M27" s="223"/>
    </row>
    <row r="28" spans="2:17" x14ac:dyDescent="0.35">
      <c r="B28" s="46"/>
      <c r="C28" s="50"/>
      <c r="D28" s="164"/>
      <c r="E28" s="10"/>
      <c r="F28" s="10"/>
      <c r="G28" s="10"/>
      <c r="H28" s="10"/>
      <c r="I28" s="163"/>
      <c r="J28" s="90"/>
      <c r="K28" s="91"/>
      <c r="L28" s="92"/>
      <c r="M28" s="223"/>
    </row>
    <row r="29" spans="2:17" ht="15" thickBot="1" x14ac:dyDescent="0.4">
      <c r="B29" s="46"/>
      <c r="C29" s="50"/>
      <c r="D29" s="164"/>
      <c r="E29" s="10"/>
      <c r="F29" s="10"/>
      <c r="G29" s="10"/>
      <c r="H29" s="10"/>
      <c r="I29" s="163"/>
      <c r="J29" s="90"/>
      <c r="K29" s="91"/>
      <c r="L29" s="92"/>
      <c r="M29" s="223"/>
    </row>
    <row r="30" spans="2:17" x14ac:dyDescent="0.35">
      <c r="B30" s="46"/>
      <c r="C30" s="50"/>
      <c r="D30" s="164"/>
      <c r="E30" s="10"/>
      <c r="F30" s="10"/>
      <c r="G30" s="10"/>
      <c r="H30" s="10"/>
      <c r="I30" s="163"/>
      <c r="J30" s="90"/>
      <c r="K30" s="91"/>
      <c r="L30" s="92"/>
      <c r="M30" s="223"/>
      <c r="O30" s="759" t="s">
        <v>159</v>
      </c>
      <c r="P30" s="760"/>
      <c r="Q30" s="761"/>
    </row>
    <row r="31" spans="2:17" ht="15" thickBot="1" x14ac:dyDescent="0.4">
      <c r="B31" s="46"/>
      <c r="C31" s="50"/>
      <c r="D31" s="164"/>
      <c r="E31" s="10"/>
      <c r="F31" s="10"/>
      <c r="G31" s="10"/>
      <c r="H31" s="10"/>
      <c r="I31" s="163"/>
      <c r="J31" s="90"/>
      <c r="K31" s="91"/>
      <c r="L31" s="92"/>
      <c r="M31" s="223"/>
      <c r="O31" s="346" t="s">
        <v>13</v>
      </c>
      <c r="P31" s="347" t="s">
        <v>14</v>
      </c>
      <c r="Q31" s="348" t="s">
        <v>15</v>
      </c>
    </row>
    <row r="32" spans="2:17" x14ac:dyDescent="0.35">
      <c r="B32" s="46"/>
      <c r="C32" s="50"/>
      <c r="D32" s="164"/>
      <c r="E32" s="10"/>
      <c r="F32" s="10"/>
      <c r="G32" s="10"/>
      <c r="H32" s="10"/>
      <c r="I32" s="163"/>
      <c r="J32" s="90"/>
      <c r="K32" s="91"/>
      <c r="L32" s="92"/>
      <c r="M32" s="223"/>
      <c r="N32" t="s">
        <v>160</v>
      </c>
      <c r="O32" s="360">
        <f>(J25-J26)/(($C26-$C25)/365)</f>
        <v>4.1568236883813829E-2</v>
      </c>
      <c r="P32" s="360">
        <f>(K25-K26)/(($C26-$C24)/365)</f>
        <v>-4.9001362589768338E-2</v>
      </c>
      <c r="Q32" s="360">
        <f>(L25-L26)/(($C26-$C24)/365)</f>
        <v>2.8327585488375729E-3</v>
      </c>
    </row>
    <row r="33" spans="2:17" x14ac:dyDescent="0.35">
      <c r="B33" s="46"/>
      <c r="C33" s="50"/>
      <c r="D33" s="164"/>
      <c r="E33" s="10"/>
      <c r="F33" s="10"/>
      <c r="G33" s="10"/>
      <c r="H33" s="10"/>
      <c r="I33" s="163"/>
      <c r="J33" s="90"/>
      <c r="K33" s="91"/>
      <c r="L33" s="92"/>
      <c r="M33" s="223"/>
      <c r="N33" t="s">
        <v>161</v>
      </c>
      <c r="O33" s="359">
        <f>O32/J25</f>
        <v>2.5598883155414482E-3</v>
      </c>
      <c r="P33" s="359">
        <f>P32/K25</f>
        <v>-3.7443623358579536E-4</v>
      </c>
      <c r="Q33" s="359">
        <f>Q32/L25</f>
        <v>1.6015593394740607E-5</v>
      </c>
    </row>
    <row r="34" spans="2:17" x14ac:dyDescent="0.35">
      <c r="B34" s="46"/>
      <c r="C34" s="50"/>
      <c r="D34" s="164"/>
      <c r="E34" s="10"/>
      <c r="F34" s="10"/>
      <c r="G34" s="10"/>
      <c r="H34" s="10"/>
      <c r="I34" s="163"/>
      <c r="J34" s="54"/>
      <c r="K34" s="55"/>
      <c r="L34" s="56"/>
      <c r="M34" s="354"/>
    </row>
    <row r="35" spans="2:17" x14ac:dyDescent="0.35">
      <c r="B35" s="46"/>
      <c r="C35" s="50"/>
      <c r="D35" s="164"/>
      <c r="E35" s="10"/>
      <c r="F35" s="10"/>
      <c r="G35" s="10"/>
      <c r="H35" s="10"/>
      <c r="I35" s="163"/>
      <c r="J35" s="54"/>
      <c r="K35" s="55"/>
      <c r="L35" s="56"/>
      <c r="M35" s="354"/>
    </row>
    <row r="36" spans="2:17" x14ac:dyDescent="0.35">
      <c r="B36" s="47"/>
      <c r="C36" s="51"/>
      <c r="D36" s="165"/>
      <c r="E36" s="122"/>
      <c r="F36" s="122"/>
      <c r="G36" s="122"/>
      <c r="H36" s="122"/>
      <c r="I36" s="166"/>
      <c r="J36" s="57"/>
      <c r="K36" s="58"/>
      <c r="L36" s="59"/>
      <c r="M36" s="354"/>
    </row>
    <row r="37" spans="2:17" x14ac:dyDescent="0.35">
      <c r="D37" s="170"/>
      <c r="E37" s="170"/>
      <c r="F37" s="170"/>
      <c r="G37" s="170"/>
      <c r="H37" s="170"/>
      <c r="I37" s="170"/>
    </row>
    <row r="38" spans="2:17" ht="15.5" x14ac:dyDescent="0.35">
      <c r="B38" s="26" t="s">
        <v>18</v>
      </c>
      <c r="D38" s="170"/>
      <c r="E38" s="170"/>
      <c r="F38" s="170"/>
      <c r="G38" s="170"/>
      <c r="H38" s="170"/>
      <c r="I38" s="170"/>
    </row>
    <row r="39" spans="2:17" x14ac:dyDescent="0.35">
      <c r="C39" s="36" t="s">
        <v>16</v>
      </c>
      <c r="D39" s="37" t="s">
        <v>17</v>
      </c>
    </row>
    <row r="40" spans="2:17" x14ac:dyDescent="0.35">
      <c r="B40" s="27" t="s">
        <v>13</v>
      </c>
      <c r="C40" s="33">
        <f>J26-J25</f>
        <v>-0.15830095690000334</v>
      </c>
      <c r="D40" s="38">
        <f>(J25-J26)/J25</f>
        <v>9.7486157769934596E-3</v>
      </c>
      <c r="F40" s="193"/>
      <c r="G40" s="35" t="s">
        <v>128</v>
      </c>
    </row>
    <row r="41" spans="2:17" x14ac:dyDescent="0.35">
      <c r="B41" s="28" t="s">
        <v>14</v>
      </c>
      <c r="C41" s="33">
        <f>K26-K25</f>
        <v>0.43295724480000786</v>
      </c>
      <c r="D41" s="39">
        <f>(K25-K26)/K25</f>
        <v>-3.3083749405868217E-3</v>
      </c>
    </row>
    <row r="42" spans="2:17" x14ac:dyDescent="0.35">
      <c r="B42" s="29" t="s">
        <v>15</v>
      </c>
      <c r="C42" s="34">
        <f>L26-L25</f>
        <v>-2.502916800000321E-2</v>
      </c>
      <c r="D42" s="40">
        <f>(L25-L26)/L25</f>
        <v>1.415076402685985E-4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tabColor theme="9" tint="-0.249977111117893"/>
  </sheetPr>
  <dimension ref="B17:S42"/>
  <sheetViews>
    <sheetView workbookViewId="0"/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9" ht="15.5" x14ac:dyDescent="0.35">
      <c r="B17" s="6" t="s">
        <v>6</v>
      </c>
      <c r="C17" s="2" t="s">
        <v>19</v>
      </c>
      <c r="E17" s="1" t="s">
        <v>72</v>
      </c>
    </row>
    <row r="18" spans="2:19" ht="15.5" x14ac:dyDescent="0.35">
      <c r="B18" s="7" t="s">
        <v>7</v>
      </c>
      <c r="C18" s="3" t="s">
        <v>28</v>
      </c>
    </row>
    <row r="19" spans="2:19" x14ac:dyDescent="0.35">
      <c r="B19" s="4"/>
      <c r="C19" s="4"/>
    </row>
    <row r="20" spans="2:19" x14ac:dyDescent="0.35">
      <c r="B20" s="4"/>
      <c r="C20" s="4"/>
    </row>
    <row r="21" spans="2:19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9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9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9" x14ac:dyDescent="0.35">
      <c r="B24" s="45"/>
      <c r="C24" s="67">
        <v>21337</v>
      </c>
      <c r="D24" s="160">
        <v>1</v>
      </c>
      <c r="E24" s="31"/>
      <c r="F24" s="31"/>
      <c r="G24" s="31"/>
      <c r="H24" s="161"/>
      <c r="I24" s="161"/>
      <c r="J24" s="68"/>
      <c r="K24" s="69">
        <v>2.4300000000000002</v>
      </c>
      <c r="L24" s="70">
        <v>3.14</v>
      </c>
      <c r="M24" s="82"/>
      <c r="N24" s="35"/>
      <c r="S24" s="136"/>
    </row>
    <row r="25" spans="2:19" x14ac:dyDescent="0.35">
      <c r="B25" s="46"/>
      <c r="C25" s="67">
        <v>28399</v>
      </c>
      <c r="D25" s="164"/>
      <c r="E25" s="10">
        <v>1</v>
      </c>
      <c r="F25" s="10"/>
      <c r="G25" s="10"/>
      <c r="H25" s="10"/>
      <c r="I25" s="163"/>
      <c r="J25" s="72"/>
      <c r="K25" s="62">
        <v>0.53200000000000003</v>
      </c>
      <c r="L25" s="61">
        <v>1.752</v>
      </c>
      <c r="M25" s="356"/>
    </row>
    <row r="26" spans="2:19" x14ac:dyDescent="0.35">
      <c r="B26" s="46"/>
      <c r="C26" s="50">
        <v>30286</v>
      </c>
      <c r="D26" s="164"/>
      <c r="E26" s="10">
        <v>1</v>
      </c>
      <c r="F26" s="170"/>
      <c r="G26" s="10"/>
      <c r="H26" s="10"/>
      <c r="I26" s="163"/>
      <c r="J26" s="72"/>
      <c r="K26" s="62">
        <v>0.53299999999999992</v>
      </c>
      <c r="L26" s="63">
        <v>1.988</v>
      </c>
      <c r="M26" s="356"/>
    </row>
    <row r="27" spans="2:19" x14ac:dyDescent="0.35">
      <c r="B27" s="46"/>
      <c r="C27" s="50">
        <v>35476</v>
      </c>
      <c r="D27" s="164"/>
      <c r="E27" s="10"/>
      <c r="F27" s="10">
        <v>1</v>
      </c>
      <c r="G27" s="10"/>
      <c r="H27" s="10"/>
      <c r="I27" s="163"/>
      <c r="J27" s="71">
        <v>4.4809296507268261E-2</v>
      </c>
      <c r="K27" s="64">
        <v>0.54</v>
      </c>
      <c r="L27" s="65">
        <v>2.0078125</v>
      </c>
      <c r="M27" s="356"/>
    </row>
    <row r="28" spans="2:19" x14ac:dyDescent="0.35">
      <c r="B28" s="46"/>
      <c r="C28" s="50">
        <v>37361</v>
      </c>
      <c r="D28" s="164"/>
      <c r="E28" s="10"/>
      <c r="F28" s="10">
        <v>1</v>
      </c>
      <c r="G28" s="10"/>
      <c r="H28" s="10"/>
      <c r="I28" s="163"/>
      <c r="J28" s="71">
        <v>5.3758172999999999E-2</v>
      </c>
      <c r="K28" s="64">
        <v>0.53702695100000009</v>
      </c>
      <c r="L28" s="65">
        <v>1.9297412840000001</v>
      </c>
      <c r="M28" s="356"/>
    </row>
    <row r="29" spans="2:19" ht="15" thickBot="1" x14ac:dyDescent="0.4">
      <c r="B29" s="46"/>
      <c r="C29" s="50">
        <v>38913</v>
      </c>
      <c r="D29" s="164"/>
      <c r="E29" s="10"/>
      <c r="F29" s="10">
        <v>1</v>
      </c>
      <c r="G29" s="10"/>
      <c r="H29" s="10"/>
      <c r="I29" s="163"/>
      <c r="J29" s="60">
        <v>4.4970000000000003E-2</v>
      </c>
      <c r="K29" s="64">
        <v>0.53295115999999987</v>
      </c>
      <c r="L29" s="65">
        <v>1.882099</v>
      </c>
      <c r="M29" s="356"/>
    </row>
    <row r="30" spans="2:19" x14ac:dyDescent="0.35">
      <c r="B30" s="46"/>
      <c r="C30" s="50">
        <v>40040</v>
      </c>
      <c r="D30" s="164"/>
      <c r="E30" s="10"/>
      <c r="F30" s="10">
        <v>1</v>
      </c>
      <c r="G30" s="10"/>
      <c r="H30" s="10"/>
      <c r="I30" s="163"/>
      <c r="J30" s="71">
        <v>3.6338104999999996E-2</v>
      </c>
      <c r="K30" s="64">
        <v>0.53122776000000016</v>
      </c>
      <c r="L30" s="65">
        <v>1.8508667940000003</v>
      </c>
      <c r="M30" s="356"/>
      <c r="O30" s="759" t="s">
        <v>159</v>
      </c>
      <c r="P30" s="760"/>
      <c r="Q30" s="761"/>
    </row>
    <row r="31" spans="2:19" ht="15" thickBot="1" x14ac:dyDescent="0.4">
      <c r="B31" s="46"/>
      <c r="C31" s="50"/>
      <c r="D31" s="164"/>
      <c r="E31" s="10"/>
      <c r="F31" s="10"/>
      <c r="G31" s="10"/>
      <c r="H31" s="10"/>
      <c r="I31" s="163"/>
      <c r="J31" s="60"/>
      <c r="K31" s="64"/>
      <c r="L31" s="65"/>
      <c r="M31" s="356"/>
      <c r="O31" s="346" t="s">
        <v>13</v>
      </c>
      <c r="P31" s="347" t="s">
        <v>14</v>
      </c>
      <c r="Q31" s="348" t="s">
        <v>15</v>
      </c>
    </row>
    <row r="32" spans="2:19" x14ac:dyDescent="0.35">
      <c r="B32" s="46"/>
      <c r="C32" s="50"/>
      <c r="D32" s="164"/>
      <c r="E32" s="10"/>
      <c r="F32" s="10"/>
      <c r="G32" s="10"/>
      <c r="H32" s="10"/>
      <c r="I32" s="163"/>
      <c r="J32" s="53"/>
      <c r="K32" s="44"/>
      <c r="L32" s="52"/>
      <c r="M32" s="357"/>
      <c r="N32" t="s">
        <v>160</v>
      </c>
      <c r="O32" s="360">
        <f>(J28-J32)/($C32-$C28)</f>
        <v>-1.438884746125639E-6</v>
      </c>
      <c r="P32" s="360">
        <f>(K28-K32)/(($C32-$C28)/365)</f>
        <v>-5.2465093845186165E-3</v>
      </c>
      <c r="Q32" s="360">
        <f>(L28-L32)/(($C32-$C28)/365)</f>
        <v>-1.8852695823452264E-2</v>
      </c>
    </row>
    <row r="33" spans="2:17" x14ac:dyDescent="0.35">
      <c r="B33" s="46"/>
      <c r="C33" s="50"/>
      <c r="D33" s="164"/>
      <c r="E33" s="10"/>
      <c r="F33" s="10"/>
      <c r="G33" s="10"/>
      <c r="H33" s="10"/>
      <c r="I33" s="163"/>
      <c r="J33" s="54"/>
      <c r="K33" s="55"/>
      <c r="L33" s="56"/>
      <c r="M33" s="354"/>
      <c r="N33" t="s">
        <v>161</v>
      </c>
      <c r="O33" s="359">
        <f>O32/J28</f>
        <v>-2.6765878857632288E-5</v>
      </c>
      <c r="P33" s="359">
        <f>P32/K28</f>
        <v>-9.7695457830357865E-3</v>
      </c>
      <c r="Q33" s="359">
        <f>Q32/L28</f>
        <v>-9.7695457830357865E-3</v>
      </c>
    </row>
    <row r="34" spans="2:17" x14ac:dyDescent="0.35">
      <c r="B34" s="46"/>
      <c r="C34" s="50"/>
      <c r="D34" s="164"/>
      <c r="E34" s="10"/>
      <c r="F34" s="10"/>
      <c r="G34" s="10"/>
      <c r="H34" s="10"/>
      <c r="I34" s="163"/>
      <c r="J34" s="54"/>
      <c r="K34" s="55"/>
      <c r="L34" s="56"/>
      <c r="M34" s="354"/>
    </row>
    <row r="35" spans="2:17" x14ac:dyDescent="0.35">
      <c r="B35" s="46"/>
      <c r="C35" s="50"/>
      <c r="D35" s="164"/>
      <c r="E35" s="10"/>
      <c r="F35" s="10"/>
      <c r="G35" s="10"/>
      <c r="H35" s="10"/>
      <c r="I35" s="163"/>
      <c r="J35" s="54"/>
      <c r="K35" s="55"/>
      <c r="L35" s="56"/>
      <c r="M35" s="354"/>
    </row>
    <row r="36" spans="2:17" x14ac:dyDescent="0.35">
      <c r="B36" s="47"/>
      <c r="C36" s="51"/>
      <c r="D36" s="165"/>
      <c r="E36" s="122"/>
      <c r="F36" s="122"/>
      <c r="G36" s="122"/>
      <c r="H36" s="122"/>
      <c r="I36" s="166"/>
      <c r="J36" s="57"/>
      <c r="K36" s="58"/>
      <c r="L36" s="59"/>
      <c r="M36" s="354"/>
    </row>
    <row r="37" spans="2:17" x14ac:dyDescent="0.35">
      <c r="D37" s="170"/>
      <c r="E37" s="170"/>
      <c r="F37" s="170"/>
      <c r="G37" s="170"/>
      <c r="H37" s="170"/>
      <c r="I37" s="170"/>
    </row>
    <row r="38" spans="2:17" ht="15.5" x14ac:dyDescent="0.35">
      <c r="B38" s="26" t="s">
        <v>18</v>
      </c>
      <c r="D38" s="170"/>
      <c r="E38" s="170"/>
      <c r="F38" s="170"/>
      <c r="G38" s="170"/>
      <c r="H38" s="170"/>
      <c r="I38" s="170"/>
    </row>
    <row r="39" spans="2:17" x14ac:dyDescent="0.35">
      <c r="C39" s="36" t="s">
        <v>16</v>
      </c>
      <c r="D39" s="37" t="s">
        <v>17</v>
      </c>
    </row>
    <row r="40" spans="2:17" x14ac:dyDescent="0.35">
      <c r="B40" s="27" t="s">
        <v>13</v>
      </c>
      <c r="C40" s="33">
        <f>J30-J27</f>
        <v>-8.471191507268265E-3</v>
      </c>
      <c r="D40" s="39">
        <f>(J27-J30)/J27</f>
        <v>0.18904986615655084</v>
      </c>
      <c r="F40" s="193"/>
      <c r="G40" s="1" t="s">
        <v>128</v>
      </c>
    </row>
    <row r="41" spans="2:17" x14ac:dyDescent="0.35">
      <c r="B41" s="28" t="s">
        <v>14</v>
      </c>
      <c r="C41" s="33">
        <f>K30-K25</f>
        <v>-7.7223999999986859E-4</v>
      </c>
      <c r="D41" s="39">
        <f>(K25-K30)/K25</f>
        <v>1.451578947368174E-3</v>
      </c>
    </row>
    <row r="42" spans="2:17" x14ac:dyDescent="0.35">
      <c r="B42" s="29" t="s">
        <v>15</v>
      </c>
      <c r="C42" s="34">
        <f>L30-L25</f>
        <v>9.8866794000000313E-2</v>
      </c>
      <c r="D42" s="40">
        <f>(L25-L30)/L25</f>
        <v>-5.6430818493150861E-2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tabColor theme="5" tint="-0.249977111117893"/>
  </sheetPr>
  <dimension ref="B17:Q53"/>
  <sheetViews>
    <sheetView topLeftCell="A25" zoomScaleNormal="100" workbookViewId="0">
      <selection activeCell="O41" sqref="O41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48</v>
      </c>
      <c r="E17" s="1" t="s">
        <v>72</v>
      </c>
    </row>
    <row r="18" spans="2:17" ht="15.5" x14ac:dyDescent="0.35">
      <c r="B18" s="7" t="s">
        <v>7</v>
      </c>
      <c r="C18" s="3" t="s">
        <v>49</v>
      </c>
    </row>
    <row r="19" spans="2:17" x14ac:dyDescent="0.35">
      <c r="B19" s="4"/>
      <c r="C19" s="4"/>
    </row>
    <row r="20" spans="2:17" x14ac:dyDescent="0.35">
      <c r="B20" s="4"/>
      <c r="C20" s="4"/>
    </row>
    <row r="21" spans="2:17" ht="21.5" thickBot="1" x14ac:dyDescent="0.4">
      <c r="B21" s="762" t="s">
        <v>50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51</v>
      </c>
      <c r="D22" s="769" t="s">
        <v>52</v>
      </c>
      <c r="E22" s="770"/>
      <c r="F22" s="770"/>
      <c r="G22" s="770"/>
      <c r="H22" s="770"/>
      <c r="I22" s="771"/>
      <c r="J22" s="772" t="s">
        <v>53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54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55</v>
      </c>
      <c r="L23" s="148" t="s">
        <v>15</v>
      </c>
      <c r="M23" s="353"/>
    </row>
    <row r="24" spans="2:17" x14ac:dyDescent="0.35">
      <c r="B24" s="9"/>
      <c r="C24" s="21"/>
      <c r="D24" s="164"/>
      <c r="E24" s="10"/>
      <c r="F24" s="10"/>
      <c r="G24" s="10"/>
      <c r="H24" s="10"/>
      <c r="I24" s="163"/>
      <c r="J24" s="9"/>
      <c r="K24" s="41"/>
      <c r="L24" s="43"/>
      <c r="M24" s="195"/>
      <c r="N24" s="35"/>
    </row>
    <row r="25" spans="2:17" x14ac:dyDescent="0.35">
      <c r="B25" s="112"/>
      <c r="C25" s="117"/>
      <c r="D25" s="164"/>
      <c r="E25" s="175"/>
      <c r="F25" s="175"/>
      <c r="G25" s="175"/>
      <c r="H25" s="175"/>
      <c r="I25" s="176"/>
      <c r="J25" s="112"/>
      <c r="K25" s="402"/>
      <c r="L25" s="403"/>
      <c r="M25" s="195"/>
      <c r="N25" s="35"/>
    </row>
    <row r="26" spans="2:17" x14ac:dyDescent="0.35">
      <c r="B26" s="9"/>
      <c r="C26" s="21"/>
      <c r="D26" s="164"/>
      <c r="E26" s="10"/>
      <c r="F26" s="10"/>
      <c r="G26" s="10"/>
      <c r="H26" s="10"/>
      <c r="I26" s="163"/>
      <c r="J26" s="9"/>
      <c r="K26" s="41"/>
      <c r="L26" s="43"/>
      <c r="M26" s="195"/>
      <c r="N26" s="35"/>
    </row>
    <row r="27" spans="2:17" x14ac:dyDescent="0.35">
      <c r="B27" s="9"/>
      <c r="C27" s="21"/>
      <c r="D27" s="164"/>
      <c r="E27" s="10"/>
      <c r="F27" s="10"/>
      <c r="G27" s="10"/>
      <c r="H27" s="10"/>
      <c r="I27" s="163"/>
      <c r="J27" s="9"/>
      <c r="K27" s="41"/>
      <c r="L27" s="43"/>
      <c r="M27" s="195"/>
      <c r="N27" s="35"/>
    </row>
    <row r="28" spans="2:17" x14ac:dyDescent="0.35">
      <c r="B28" s="9"/>
      <c r="C28" s="21"/>
      <c r="D28" s="164"/>
      <c r="E28" s="10"/>
      <c r="F28" s="10"/>
      <c r="G28" s="10"/>
      <c r="H28" s="10"/>
      <c r="I28" s="163"/>
      <c r="J28" s="9"/>
      <c r="K28" s="41"/>
      <c r="L28" s="43"/>
      <c r="M28" s="195"/>
      <c r="N28" s="35"/>
    </row>
    <row r="29" spans="2:17" ht="15" thickBot="1" x14ac:dyDescent="0.4">
      <c r="B29" s="9"/>
      <c r="C29" s="21"/>
      <c r="D29" s="164"/>
      <c r="E29" s="10"/>
      <c r="F29" s="10"/>
      <c r="G29" s="10"/>
      <c r="H29" s="10"/>
      <c r="I29" s="163"/>
      <c r="J29" s="9"/>
      <c r="K29" s="41"/>
      <c r="L29" s="43"/>
      <c r="M29" s="195"/>
      <c r="N29" s="35"/>
    </row>
    <row r="30" spans="2:17" x14ac:dyDescent="0.35">
      <c r="B30" s="183"/>
      <c r="C30" s="184">
        <v>34516</v>
      </c>
      <c r="D30" s="185"/>
      <c r="E30" s="186">
        <v>1</v>
      </c>
      <c r="F30" s="186">
        <v>1</v>
      </c>
      <c r="G30" s="186"/>
      <c r="H30" s="186"/>
      <c r="I30" s="187"/>
      <c r="J30" s="183">
        <v>3.89</v>
      </c>
      <c r="K30" s="191">
        <v>49.04</v>
      </c>
      <c r="L30" s="192">
        <v>65.78</v>
      </c>
      <c r="M30" s="195"/>
      <c r="N30" s="35"/>
      <c r="O30" s="759" t="s">
        <v>159</v>
      </c>
      <c r="P30" s="760"/>
      <c r="Q30" s="761"/>
    </row>
    <row r="31" spans="2:17" ht="15" thickBot="1" x14ac:dyDescent="0.4">
      <c r="B31" s="183"/>
      <c r="C31" s="184">
        <v>35612</v>
      </c>
      <c r="D31" s="185"/>
      <c r="E31" s="186">
        <v>1</v>
      </c>
      <c r="F31" s="186">
        <v>1</v>
      </c>
      <c r="G31" s="186"/>
      <c r="H31" s="186"/>
      <c r="I31" s="187"/>
      <c r="J31" s="183">
        <v>3.61</v>
      </c>
      <c r="K31" s="191">
        <v>48.1</v>
      </c>
      <c r="L31" s="192">
        <v>64.28</v>
      </c>
      <c r="M31" s="195"/>
      <c r="N31" s="35"/>
      <c r="O31" s="346" t="s">
        <v>13</v>
      </c>
      <c r="P31" s="347" t="s">
        <v>55</v>
      </c>
      <c r="Q31" s="348" t="s">
        <v>15</v>
      </c>
    </row>
    <row r="32" spans="2:17" x14ac:dyDescent="0.35">
      <c r="B32" s="183"/>
      <c r="C32" s="184">
        <v>37073</v>
      </c>
      <c r="D32" s="185"/>
      <c r="E32" s="186">
        <v>1</v>
      </c>
      <c r="F32" s="186">
        <v>1</v>
      </c>
      <c r="G32" s="186"/>
      <c r="H32" s="186"/>
      <c r="I32" s="187"/>
      <c r="J32" s="183">
        <v>3.54</v>
      </c>
      <c r="K32" s="592">
        <v>47.28</v>
      </c>
      <c r="L32" s="192">
        <v>62.71</v>
      </c>
      <c r="M32" s="195"/>
      <c r="N32" s="35" t="s">
        <v>160</v>
      </c>
      <c r="O32" s="360">
        <f>(J30-J36)/(($C36-$C30)/365)</f>
        <v>7.148573233652733E-2</v>
      </c>
      <c r="P32" s="360">
        <f>(K30-K36)/(($C36-$C30)/365)</f>
        <v>-3.1515215331157219E-2</v>
      </c>
      <c r="Q32" s="360">
        <f>(L30-L36)/(($C36-$C30)/365)</f>
        <v>0.22714014952090147</v>
      </c>
    </row>
    <row r="33" spans="2:17" x14ac:dyDescent="0.35">
      <c r="B33" s="9"/>
      <c r="C33" s="21"/>
      <c r="D33" s="593"/>
      <c r="E33" s="10"/>
      <c r="F33" s="10"/>
      <c r="G33" s="10"/>
      <c r="H33" s="10"/>
      <c r="I33" s="163"/>
      <c r="J33" s="9"/>
      <c r="K33" s="41"/>
      <c r="L33" s="43"/>
      <c r="M33" s="195"/>
      <c r="N33" s="35" t="s">
        <v>161</v>
      </c>
      <c r="O33" s="359">
        <f>O32/J30</f>
        <v>1.8376794945122708E-2</v>
      </c>
      <c r="P33" s="359">
        <f>P32/K30</f>
        <v>-6.4264305324545712E-4</v>
      </c>
      <c r="Q33" s="359">
        <f>Q32/L30</f>
        <v>3.4530275086789523E-3</v>
      </c>
    </row>
    <row r="34" spans="2:17" x14ac:dyDescent="0.35">
      <c r="B34" s="183"/>
      <c r="C34" s="184">
        <v>39630</v>
      </c>
      <c r="D34" s="185"/>
      <c r="E34" s="186"/>
      <c r="F34" s="186">
        <v>1</v>
      </c>
      <c r="G34" s="186"/>
      <c r="H34" s="186"/>
      <c r="I34" s="187" t="s">
        <v>56</v>
      </c>
      <c r="J34" s="183">
        <v>3.18</v>
      </c>
      <c r="K34" s="592">
        <v>47.75</v>
      </c>
      <c r="L34" s="192">
        <v>61.67</v>
      </c>
      <c r="M34" s="195"/>
      <c r="N34" s="35"/>
    </row>
    <row r="35" spans="2:17" x14ac:dyDescent="0.35">
      <c r="B35" s="183"/>
      <c r="C35" s="184">
        <v>42186</v>
      </c>
      <c r="D35" s="185"/>
      <c r="E35" s="186"/>
      <c r="F35" s="186"/>
      <c r="G35" s="186">
        <v>1</v>
      </c>
      <c r="H35" s="186">
        <v>1</v>
      </c>
      <c r="I35" s="187"/>
      <c r="J35" s="183">
        <v>2.11</v>
      </c>
      <c r="K35" s="191">
        <v>48.39</v>
      </c>
      <c r="L35" s="192">
        <v>58.7</v>
      </c>
      <c r="M35" s="195"/>
      <c r="N35" s="35"/>
    </row>
    <row r="36" spans="2:17" x14ac:dyDescent="0.35">
      <c r="B36" s="183"/>
      <c r="C36" s="184">
        <v>44013</v>
      </c>
      <c r="D36" s="185"/>
      <c r="E36" s="186"/>
      <c r="F36" s="186"/>
      <c r="G36" s="186">
        <v>1</v>
      </c>
      <c r="H36" s="186">
        <v>1</v>
      </c>
      <c r="I36" s="187"/>
      <c r="J36" s="183">
        <v>2.0299999999999998</v>
      </c>
      <c r="K36" s="592">
        <v>49.86</v>
      </c>
      <c r="L36" s="192">
        <v>59.87</v>
      </c>
      <c r="M36" s="195"/>
      <c r="N36" s="35"/>
    </row>
    <row r="37" spans="2:17" x14ac:dyDescent="0.35">
      <c r="B37" s="9"/>
      <c r="C37" s="21"/>
      <c r="D37" s="164"/>
      <c r="E37" s="10"/>
      <c r="F37" s="10"/>
      <c r="G37" s="10"/>
      <c r="H37" s="10"/>
      <c r="I37" s="163"/>
      <c r="J37" s="9"/>
      <c r="K37" s="41"/>
      <c r="L37" s="43"/>
      <c r="M37" s="195"/>
      <c r="N37" s="35"/>
    </row>
    <row r="38" spans="2:17" x14ac:dyDescent="0.35">
      <c r="B38" s="11"/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  <c r="N38" s="35"/>
    </row>
    <row r="40" spans="2:17" ht="15.5" x14ac:dyDescent="0.35">
      <c r="B40" s="26" t="s">
        <v>57</v>
      </c>
      <c r="F40" s="193"/>
      <c r="G40" s="35" t="s">
        <v>128</v>
      </c>
    </row>
    <row r="41" spans="2:17" x14ac:dyDescent="0.35">
      <c r="C41" s="36" t="s">
        <v>58</v>
      </c>
      <c r="D41" s="37" t="s">
        <v>17</v>
      </c>
    </row>
    <row r="42" spans="2:17" x14ac:dyDescent="0.35">
      <c r="B42" s="27" t="s">
        <v>13</v>
      </c>
      <c r="C42" s="33">
        <f>J36-J30</f>
        <v>-1.8600000000000003</v>
      </c>
      <c r="D42" s="38">
        <f>(J30-J36)/J30</f>
        <v>0.47814910025706947</v>
      </c>
    </row>
    <row r="43" spans="2:17" x14ac:dyDescent="0.35">
      <c r="B43" s="28" t="s">
        <v>55</v>
      </c>
      <c r="C43" s="33">
        <f>K36-K30</f>
        <v>0.82000000000000028</v>
      </c>
      <c r="D43" s="39">
        <f>(K30-K36)/K30</f>
        <v>-1.6721044045677005E-2</v>
      </c>
    </row>
    <row r="44" spans="2:17" x14ac:dyDescent="0.35">
      <c r="B44" s="29" t="s">
        <v>15</v>
      </c>
      <c r="C44" s="34">
        <f>L36-L30</f>
        <v>-5.9100000000000037</v>
      </c>
      <c r="D44" s="40">
        <f>(L30-L36)/L30</f>
        <v>8.984493767102468E-2</v>
      </c>
    </row>
    <row r="48" spans="2:17" x14ac:dyDescent="0.35">
      <c r="B48" t="s">
        <v>196</v>
      </c>
      <c r="M48"/>
    </row>
    <row r="49" spans="3:13" x14ac:dyDescent="0.35">
      <c r="M49"/>
    </row>
    <row r="50" spans="3:13" x14ac:dyDescent="0.35">
      <c r="C50" s="594" t="s">
        <v>197</v>
      </c>
      <c r="M50"/>
    </row>
    <row r="51" spans="3:13" x14ac:dyDescent="0.35">
      <c r="C51" s="594" t="s">
        <v>198</v>
      </c>
      <c r="M51"/>
    </row>
    <row r="52" spans="3:13" x14ac:dyDescent="0.35">
      <c r="C52" s="594" t="s">
        <v>199</v>
      </c>
      <c r="M52"/>
    </row>
    <row r="53" spans="3:13" x14ac:dyDescent="0.35">
      <c r="C53" s="594" t="s">
        <v>200</v>
      </c>
      <c r="M53"/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>
    <tabColor theme="5" tint="-0.249977111117893"/>
  </sheetPr>
  <dimension ref="B17:Q44"/>
  <sheetViews>
    <sheetView topLeftCell="A26" zoomScale="85" zoomScaleNormal="85" workbookViewId="0">
      <selection activeCell="D46" sqref="D46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48</v>
      </c>
      <c r="E17" s="1" t="s">
        <v>72</v>
      </c>
    </row>
    <row r="18" spans="2:17" ht="15.5" x14ac:dyDescent="0.35">
      <c r="B18" s="7" t="s">
        <v>7</v>
      </c>
      <c r="C18" s="3" t="s">
        <v>59</v>
      </c>
    </row>
    <row r="19" spans="2:17" x14ac:dyDescent="0.35">
      <c r="B19" s="4"/>
      <c r="C19" s="4"/>
    </row>
    <row r="20" spans="2:17" x14ac:dyDescent="0.35">
      <c r="B20" s="4"/>
      <c r="C20" s="4"/>
    </row>
    <row r="21" spans="2:17" ht="21.5" thickBot="1" x14ac:dyDescent="0.4">
      <c r="B21" s="762" t="s">
        <v>50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51</v>
      </c>
      <c r="D22" s="769" t="s">
        <v>52</v>
      </c>
      <c r="E22" s="770"/>
      <c r="F22" s="770"/>
      <c r="G22" s="770"/>
      <c r="H22" s="770"/>
      <c r="I22" s="771"/>
      <c r="J22" s="772" t="s">
        <v>53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54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55</v>
      </c>
      <c r="L23" s="148" t="s">
        <v>15</v>
      </c>
      <c r="M23" s="353"/>
    </row>
    <row r="24" spans="2:17" x14ac:dyDescent="0.35">
      <c r="B24" s="9"/>
      <c r="C24" s="21"/>
      <c r="D24" s="164"/>
      <c r="E24" s="10"/>
      <c r="F24" s="10"/>
      <c r="G24" s="10"/>
      <c r="H24" s="10"/>
      <c r="I24" s="163"/>
      <c r="J24" s="90"/>
      <c r="K24" s="130"/>
      <c r="L24" s="131"/>
      <c r="M24" s="355"/>
      <c r="N24" s="35"/>
    </row>
    <row r="25" spans="2:17" x14ac:dyDescent="0.35">
      <c r="B25" s="9"/>
      <c r="C25" s="21"/>
      <c r="D25" s="164"/>
      <c r="E25" s="10"/>
      <c r="F25" s="10"/>
      <c r="G25" s="10"/>
      <c r="H25" s="10"/>
      <c r="I25" s="163"/>
      <c r="J25" s="90"/>
      <c r="K25" s="130"/>
      <c r="L25" s="131"/>
      <c r="M25" s="355"/>
      <c r="N25" s="35"/>
    </row>
    <row r="26" spans="2:17" x14ac:dyDescent="0.35">
      <c r="B26" s="183"/>
      <c r="C26" s="184">
        <v>34516</v>
      </c>
      <c r="D26" s="185"/>
      <c r="E26" s="186">
        <v>1</v>
      </c>
      <c r="F26" s="186">
        <v>1</v>
      </c>
      <c r="G26" s="186"/>
      <c r="H26" s="186"/>
      <c r="I26" s="187"/>
      <c r="J26" s="198">
        <v>7.98</v>
      </c>
      <c r="K26" s="404">
        <v>157.62</v>
      </c>
      <c r="L26" s="405">
        <v>185.51</v>
      </c>
      <c r="M26" s="355"/>
      <c r="N26" s="35"/>
    </row>
    <row r="27" spans="2:17" x14ac:dyDescent="0.35">
      <c r="B27" s="183"/>
      <c r="C27" s="184">
        <v>36342</v>
      </c>
      <c r="D27" s="185"/>
      <c r="E27" s="186">
        <v>1</v>
      </c>
      <c r="F27" s="186">
        <v>1</v>
      </c>
      <c r="G27" s="186"/>
      <c r="H27" s="186"/>
      <c r="I27" s="187"/>
      <c r="J27" s="198">
        <v>5.28</v>
      </c>
      <c r="K27" s="404">
        <v>162.62</v>
      </c>
      <c r="L27" s="405">
        <v>185.5</v>
      </c>
      <c r="M27" s="355"/>
      <c r="N27" s="35"/>
    </row>
    <row r="28" spans="2:17" x14ac:dyDescent="0.35">
      <c r="B28" s="183"/>
      <c r="C28" s="184">
        <v>38899</v>
      </c>
      <c r="D28" s="185"/>
      <c r="E28" s="186"/>
      <c r="F28" s="186">
        <v>1</v>
      </c>
      <c r="G28" s="186"/>
      <c r="H28" s="186"/>
      <c r="I28" s="187" t="s">
        <v>56</v>
      </c>
      <c r="J28" s="198">
        <v>8.16</v>
      </c>
      <c r="K28" s="404">
        <v>164.55</v>
      </c>
      <c r="L28" s="405">
        <v>192.32</v>
      </c>
      <c r="M28" s="355"/>
      <c r="N28" s="35"/>
    </row>
    <row r="29" spans="2:17" ht="15" thickBot="1" x14ac:dyDescent="0.4">
      <c r="B29" s="183"/>
      <c r="C29" s="184">
        <v>41091</v>
      </c>
      <c r="D29" s="185"/>
      <c r="E29" s="186"/>
      <c r="F29" s="186">
        <v>1</v>
      </c>
      <c r="G29" s="186"/>
      <c r="H29" s="186"/>
      <c r="I29" s="187" t="s">
        <v>56</v>
      </c>
      <c r="J29" s="198">
        <v>11.43</v>
      </c>
      <c r="K29" s="404">
        <v>167.98</v>
      </c>
      <c r="L29" s="405">
        <v>200.93</v>
      </c>
      <c r="M29" s="355"/>
      <c r="N29" s="35"/>
    </row>
    <row r="30" spans="2:17" x14ac:dyDescent="0.35">
      <c r="B30" s="183"/>
      <c r="C30" s="184">
        <v>42917</v>
      </c>
      <c r="D30" s="185"/>
      <c r="E30" s="186"/>
      <c r="F30" s="186"/>
      <c r="G30" s="186">
        <v>1</v>
      </c>
      <c r="H30" s="186">
        <v>1</v>
      </c>
      <c r="I30" s="187"/>
      <c r="J30" s="198">
        <v>6.36</v>
      </c>
      <c r="K30" s="404">
        <v>161.86000000000001</v>
      </c>
      <c r="L30" s="405">
        <v>185.42</v>
      </c>
      <c r="M30" s="355"/>
      <c r="N30" s="35"/>
      <c r="O30" s="759" t="s">
        <v>159</v>
      </c>
      <c r="P30" s="760"/>
      <c r="Q30" s="761"/>
    </row>
    <row r="31" spans="2:17" ht="15" thickBot="1" x14ac:dyDescent="0.4">
      <c r="B31" s="9"/>
      <c r="C31" s="21"/>
      <c r="D31" s="164"/>
      <c r="E31" s="10"/>
      <c r="F31" s="10"/>
      <c r="G31" s="10"/>
      <c r="H31" s="10"/>
      <c r="I31" s="163"/>
      <c r="J31" s="9"/>
      <c r="K31" s="41"/>
      <c r="L31" s="43"/>
      <c r="M31" s="195"/>
      <c r="N31" s="35"/>
      <c r="O31" s="346" t="s">
        <v>13</v>
      </c>
      <c r="P31" s="347" t="s">
        <v>55</v>
      </c>
      <c r="Q31" s="348" t="s">
        <v>15</v>
      </c>
    </row>
    <row r="32" spans="2:17" x14ac:dyDescent="0.35">
      <c r="B32" s="9"/>
      <c r="C32" s="21"/>
      <c r="D32" s="164"/>
      <c r="E32" s="10"/>
      <c r="F32" s="10"/>
      <c r="G32" s="10"/>
      <c r="H32" s="10"/>
      <c r="I32" s="163"/>
      <c r="J32" s="9"/>
      <c r="K32" s="41"/>
      <c r="L32" s="43"/>
      <c r="M32" s="195"/>
      <c r="N32" s="35" t="s">
        <v>160</v>
      </c>
      <c r="O32" s="360">
        <f>(J26-J30)/(($C30-$C26)/365)</f>
        <v>7.0384478038328785E-2</v>
      </c>
      <c r="P32" s="360">
        <f>(K26-K30)/(($C30-$C26)/365)</f>
        <v>-0.18421616474229299</v>
      </c>
      <c r="Q32" s="360">
        <f>(L26-L30)/(($C30-$C26)/365)</f>
        <v>3.9102487799073027E-3</v>
      </c>
    </row>
    <row r="33" spans="2:17" x14ac:dyDescent="0.35">
      <c r="B33" s="9"/>
      <c r="C33" s="21"/>
      <c r="D33" s="164"/>
      <c r="E33" s="10"/>
      <c r="F33" s="10"/>
      <c r="G33" s="10"/>
      <c r="H33" s="10"/>
      <c r="I33" s="163"/>
      <c r="J33" s="9"/>
      <c r="K33" s="41"/>
      <c r="L33" s="43"/>
      <c r="M33" s="195"/>
      <c r="N33" s="35" t="s">
        <v>161</v>
      </c>
      <c r="O33" s="359">
        <f>O32/J26</f>
        <v>8.8201100298657617E-3</v>
      </c>
      <c r="P33" s="359">
        <f>P32/K26</f>
        <v>-1.168735977301694E-3</v>
      </c>
      <c r="Q33" s="359">
        <f>Q32/L26</f>
        <v>2.1078371947104213E-5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41"/>
      <c r="L34" s="43"/>
      <c r="M34" s="195"/>
      <c r="N34" s="35"/>
    </row>
    <row r="35" spans="2:17" x14ac:dyDescent="0.35">
      <c r="B35" s="9"/>
      <c r="C35" s="21"/>
      <c r="D35" s="164"/>
      <c r="E35" s="10"/>
      <c r="F35" s="10"/>
      <c r="G35" s="10"/>
      <c r="H35" s="10"/>
      <c r="I35" s="163"/>
      <c r="J35" s="9"/>
      <c r="K35" s="41"/>
      <c r="L35" s="43"/>
      <c r="M35" s="195"/>
      <c r="N35" s="35"/>
    </row>
    <row r="36" spans="2:17" x14ac:dyDescent="0.35">
      <c r="B36" s="9"/>
      <c r="C36" s="21"/>
      <c r="D36" s="164"/>
      <c r="E36" s="10"/>
      <c r="F36" s="10"/>
      <c r="G36" s="10"/>
      <c r="H36" s="10"/>
      <c r="I36" s="163"/>
      <c r="J36" s="9"/>
      <c r="K36" s="41"/>
      <c r="L36" s="43"/>
      <c r="M36" s="195"/>
      <c r="N36" s="35"/>
    </row>
    <row r="37" spans="2:17" x14ac:dyDescent="0.35">
      <c r="B37" s="9"/>
      <c r="C37" s="21"/>
      <c r="D37" s="164"/>
      <c r="E37" s="10"/>
      <c r="F37" s="10"/>
      <c r="G37" s="10"/>
      <c r="H37" s="10"/>
      <c r="I37" s="163"/>
      <c r="J37" s="9"/>
      <c r="K37" s="41"/>
      <c r="L37" s="43"/>
      <c r="M37" s="195"/>
      <c r="N37" s="35"/>
    </row>
    <row r="38" spans="2:17" x14ac:dyDescent="0.35">
      <c r="B38" s="11"/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  <c r="N38" s="35"/>
    </row>
    <row r="40" spans="2:17" ht="15.5" x14ac:dyDescent="0.35">
      <c r="B40" s="26" t="s">
        <v>57</v>
      </c>
      <c r="F40" s="193"/>
      <c r="G40" s="35" t="s">
        <v>128</v>
      </c>
    </row>
    <row r="41" spans="2:17" x14ac:dyDescent="0.35">
      <c r="C41" s="36" t="s">
        <v>58</v>
      </c>
      <c r="D41" s="37" t="s">
        <v>17</v>
      </c>
    </row>
    <row r="42" spans="2:17" x14ac:dyDescent="0.35">
      <c r="B42" s="27" t="s">
        <v>13</v>
      </c>
      <c r="C42" s="33">
        <f>J30-J26</f>
        <v>-1.62</v>
      </c>
      <c r="D42" s="38">
        <f>(J26-J30)/J26</f>
        <v>0.20300751879699247</v>
      </c>
    </row>
    <row r="43" spans="2:17" x14ac:dyDescent="0.35">
      <c r="B43" s="28" t="s">
        <v>55</v>
      </c>
      <c r="C43" s="33">
        <f>K30-K26</f>
        <v>4.2400000000000091</v>
      </c>
      <c r="D43" s="39">
        <f>(K26-K30)/K26</f>
        <v>-2.6900139576195973E-2</v>
      </c>
    </row>
    <row r="44" spans="2:17" x14ac:dyDescent="0.35">
      <c r="B44" s="29" t="s">
        <v>15</v>
      </c>
      <c r="C44" s="34">
        <f>L30-L26</f>
        <v>-9.0000000000003411E-2</v>
      </c>
      <c r="D44" s="40">
        <f>(L26-L30)/L26</f>
        <v>4.8514904856882874E-4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7">
    <tabColor theme="5" tint="-0.249977111117893"/>
  </sheetPr>
  <dimension ref="B17:Q45"/>
  <sheetViews>
    <sheetView topLeftCell="A19" workbookViewId="0">
      <selection activeCell="J25" sqref="J25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48</v>
      </c>
      <c r="E17" s="1" t="s">
        <v>72</v>
      </c>
    </row>
    <row r="18" spans="2:17" ht="15.5" x14ac:dyDescent="0.35">
      <c r="B18" s="7" t="s">
        <v>7</v>
      </c>
      <c r="C18" s="3" t="s">
        <v>60</v>
      </c>
    </row>
    <row r="19" spans="2:17" x14ac:dyDescent="0.35">
      <c r="B19" s="4"/>
      <c r="C19" s="4"/>
    </row>
    <row r="20" spans="2:17" x14ac:dyDescent="0.35">
      <c r="B20" s="4"/>
      <c r="C20" s="4"/>
    </row>
    <row r="21" spans="2:17" ht="21.5" thickBot="1" x14ac:dyDescent="0.4">
      <c r="B21" s="762" t="s">
        <v>50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51</v>
      </c>
      <c r="D22" s="769" t="s">
        <v>52</v>
      </c>
      <c r="E22" s="770"/>
      <c r="F22" s="770"/>
      <c r="G22" s="770"/>
      <c r="H22" s="770"/>
      <c r="I22" s="771"/>
      <c r="J22" s="772" t="s">
        <v>53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54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55</v>
      </c>
      <c r="L23" s="148" t="s">
        <v>15</v>
      </c>
      <c r="M23" s="353"/>
    </row>
    <row r="24" spans="2:17" x14ac:dyDescent="0.35">
      <c r="B24" s="183"/>
      <c r="C24" s="184">
        <v>37438</v>
      </c>
      <c r="D24" s="185"/>
      <c r="E24" s="186">
        <v>1</v>
      </c>
      <c r="F24" s="186"/>
      <c r="G24" s="186"/>
      <c r="H24" s="186"/>
      <c r="I24" s="187" t="s">
        <v>61</v>
      </c>
      <c r="J24" s="198">
        <v>97.72</v>
      </c>
      <c r="K24" s="404">
        <v>425.3</v>
      </c>
      <c r="L24" s="405">
        <f>97.72+47.98+425.3</f>
        <v>571</v>
      </c>
      <c r="M24" s="355"/>
      <c r="N24" s="35"/>
    </row>
    <row r="25" spans="2:17" x14ac:dyDescent="0.35">
      <c r="B25" s="183"/>
      <c r="C25" s="184">
        <v>39630</v>
      </c>
      <c r="D25" s="185"/>
      <c r="E25" s="186"/>
      <c r="F25" s="186">
        <v>1</v>
      </c>
      <c r="G25" s="186"/>
      <c r="H25" s="186"/>
      <c r="I25" s="187" t="s">
        <v>56</v>
      </c>
      <c r="J25" s="198">
        <v>94.99</v>
      </c>
      <c r="K25" s="404">
        <v>444.98</v>
      </c>
      <c r="L25" s="405">
        <f>94.99+50.65+444.98</f>
        <v>590.62</v>
      </c>
      <c r="M25" s="355"/>
      <c r="N25" s="35"/>
    </row>
    <row r="26" spans="2:17" x14ac:dyDescent="0.35">
      <c r="B26" s="183"/>
      <c r="C26" s="184">
        <v>42186</v>
      </c>
      <c r="D26" s="185"/>
      <c r="E26" s="186"/>
      <c r="F26" s="186"/>
      <c r="G26" s="186">
        <v>1</v>
      </c>
      <c r="H26" s="186">
        <v>1</v>
      </c>
      <c r="I26" s="187"/>
      <c r="J26" s="198">
        <v>98.64</v>
      </c>
      <c r="K26" s="404">
        <v>441.38</v>
      </c>
      <c r="L26" s="405">
        <v>589.94000000000005</v>
      </c>
      <c r="M26" s="355"/>
      <c r="N26" s="35"/>
    </row>
    <row r="27" spans="2:17" x14ac:dyDescent="0.35">
      <c r="B27" s="183"/>
      <c r="C27" s="184">
        <v>43647</v>
      </c>
      <c r="D27" s="185"/>
      <c r="E27" s="186"/>
      <c r="F27" s="186"/>
      <c r="G27" s="186">
        <v>1</v>
      </c>
      <c r="H27" s="186">
        <v>1</v>
      </c>
      <c r="I27" s="187"/>
      <c r="J27" s="198">
        <v>88.16</v>
      </c>
      <c r="K27" s="404">
        <v>427.53</v>
      </c>
      <c r="L27" s="405">
        <v>561.97</v>
      </c>
      <c r="M27" s="195"/>
      <c r="N27" s="35"/>
    </row>
    <row r="28" spans="2:17" x14ac:dyDescent="0.35">
      <c r="B28" s="9"/>
      <c r="C28" s="21"/>
      <c r="D28" s="164"/>
      <c r="E28" s="10"/>
      <c r="F28" s="10"/>
      <c r="G28" s="10"/>
      <c r="H28" s="10"/>
      <c r="I28" s="163"/>
      <c r="J28" s="9"/>
      <c r="K28" s="41"/>
      <c r="L28" s="43"/>
      <c r="M28" s="195"/>
      <c r="N28" s="35"/>
    </row>
    <row r="29" spans="2:17" ht="15" thickBot="1" x14ac:dyDescent="0.4">
      <c r="B29" s="9"/>
      <c r="C29" s="21"/>
      <c r="D29" s="164"/>
      <c r="E29" s="10"/>
      <c r="F29" s="10"/>
      <c r="G29" s="10"/>
      <c r="H29" s="10"/>
      <c r="I29" s="163"/>
      <c r="J29" s="9"/>
      <c r="K29" s="41"/>
      <c r="L29" s="43"/>
      <c r="M29" s="195"/>
      <c r="N29" s="35"/>
    </row>
    <row r="30" spans="2:17" x14ac:dyDescent="0.35">
      <c r="B30" s="9"/>
      <c r="C30" s="21"/>
      <c r="D30" s="164"/>
      <c r="E30" s="10"/>
      <c r="F30" s="10"/>
      <c r="G30" s="10"/>
      <c r="H30" s="10"/>
      <c r="I30" s="163"/>
      <c r="J30" s="9"/>
      <c r="K30" s="41"/>
      <c r="L30" s="43"/>
      <c r="M30" s="195"/>
      <c r="N30" s="35"/>
      <c r="O30" s="759" t="s">
        <v>159</v>
      </c>
      <c r="P30" s="760"/>
      <c r="Q30" s="761"/>
    </row>
    <row r="31" spans="2:17" ht="15" thickBot="1" x14ac:dyDescent="0.4">
      <c r="B31" s="9"/>
      <c r="C31" s="21"/>
      <c r="D31" s="164"/>
      <c r="E31" s="10"/>
      <c r="F31" s="10"/>
      <c r="G31" s="10"/>
      <c r="H31" s="10"/>
      <c r="I31" s="163"/>
      <c r="J31" s="9"/>
      <c r="K31" s="41"/>
      <c r="L31" s="43"/>
      <c r="M31" s="195"/>
      <c r="N31" s="35"/>
      <c r="O31" s="346" t="s">
        <v>13</v>
      </c>
      <c r="P31" s="347" t="s">
        <v>55</v>
      </c>
      <c r="Q31" s="348" t="s">
        <v>15</v>
      </c>
    </row>
    <row r="32" spans="2:17" x14ac:dyDescent="0.35">
      <c r="B32" s="9"/>
      <c r="C32" s="21"/>
      <c r="D32" s="164"/>
      <c r="E32" s="10"/>
      <c r="F32" s="10"/>
      <c r="G32" s="10"/>
      <c r="H32" s="10"/>
      <c r="I32" s="163"/>
      <c r="J32" s="9"/>
      <c r="K32" s="41"/>
      <c r="L32" s="43"/>
      <c r="M32" s="195"/>
      <c r="N32" s="35" t="s">
        <v>160</v>
      </c>
      <c r="O32" s="360">
        <f>(J25-J27)/(($C27-$C25)/365)</f>
        <v>0.62059995021160053</v>
      </c>
      <c r="P32" s="360">
        <f>(K25-K27)/(($C27-$C25)/365)</f>
        <v>1.5855738113019708</v>
      </c>
      <c r="Q32" s="360">
        <f>(L25-L27)/(($C27-$C25)/365)</f>
        <v>2.6032486930545162</v>
      </c>
    </row>
    <row r="33" spans="2:17" x14ac:dyDescent="0.35">
      <c r="B33" s="9"/>
      <c r="C33" s="21"/>
      <c r="D33" s="164"/>
      <c r="E33" s="10"/>
      <c r="F33" s="10"/>
      <c r="G33" s="10"/>
      <c r="H33" s="10"/>
      <c r="I33" s="163"/>
      <c r="J33" s="9"/>
      <c r="K33" s="41"/>
      <c r="L33" s="43"/>
      <c r="M33" s="195"/>
      <c r="N33" s="35" t="s">
        <v>161</v>
      </c>
      <c r="O33" s="359">
        <f>O32/J25</f>
        <v>6.5333187726244928E-3</v>
      </c>
      <c r="P33" s="359">
        <f>P32/K25</f>
        <v>3.5632473623577929E-3</v>
      </c>
      <c r="Q33" s="359">
        <f>Q32/L25</f>
        <v>4.4076541482755685E-3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41"/>
      <c r="L34" s="43"/>
      <c r="M34" s="195"/>
      <c r="N34" s="35"/>
    </row>
    <row r="35" spans="2:17" x14ac:dyDescent="0.35">
      <c r="B35" s="9"/>
      <c r="C35" s="21"/>
      <c r="D35" s="164"/>
      <c r="E35" s="10"/>
      <c r="F35" s="10"/>
      <c r="G35" s="10"/>
      <c r="H35" s="10"/>
      <c r="I35" s="163"/>
      <c r="J35" s="9"/>
      <c r="K35" s="41"/>
      <c r="L35" s="43"/>
      <c r="M35" s="195"/>
      <c r="N35" s="35"/>
    </row>
    <row r="36" spans="2:17" x14ac:dyDescent="0.35">
      <c r="B36" s="9"/>
      <c r="C36" s="21"/>
      <c r="D36" s="164"/>
      <c r="E36" s="10"/>
      <c r="F36" s="10"/>
      <c r="G36" s="10"/>
      <c r="H36" s="10"/>
      <c r="I36" s="163"/>
      <c r="J36" s="9"/>
      <c r="K36" s="41"/>
      <c r="L36" s="43"/>
      <c r="M36" s="195"/>
      <c r="N36" s="35"/>
    </row>
    <row r="37" spans="2:17" x14ac:dyDescent="0.35">
      <c r="B37" s="9"/>
      <c r="C37" s="21"/>
      <c r="D37" s="164"/>
      <c r="E37" s="10"/>
      <c r="F37" s="10"/>
      <c r="G37" s="10"/>
      <c r="H37" s="10"/>
      <c r="I37" s="163"/>
      <c r="J37" s="9"/>
      <c r="K37" s="41"/>
      <c r="L37" s="43"/>
      <c r="M37" s="195"/>
      <c r="N37" s="35"/>
    </row>
    <row r="38" spans="2:17" x14ac:dyDescent="0.35">
      <c r="B38" s="9"/>
      <c r="C38" s="21"/>
      <c r="D38" s="164"/>
      <c r="E38" s="10"/>
      <c r="F38" s="10"/>
      <c r="G38" s="10"/>
      <c r="H38" s="10"/>
      <c r="I38" s="163"/>
      <c r="J38" s="9"/>
      <c r="K38" s="41"/>
      <c r="L38" s="43"/>
      <c r="M38" s="195"/>
      <c r="N38" s="35"/>
    </row>
    <row r="39" spans="2:17" x14ac:dyDescent="0.35">
      <c r="B39" s="11"/>
      <c r="C39" s="22"/>
      <c r="D39" s="19"/>
      <c r="E39" s="12"/>
      <c r="F39" s="12"/>
      <c r="G39" s="12"/>
      <c r="H39" s="12"/>
      <c r="I39" s="25"/>
      <c r="J39" s="11"/>
      <c r="K39" s="12"/>
      <c r="L39" s="13"/>
      <c r="M39" s="82"/>
      <c r="N39" s="35"/>
    </row>
    <row r="40" spans="2:17" x14ac:dyDescent="0.35">
      <c r="F40" s="193"/>
      <c r="G40" s="1" t="s">
        <v>128</v>
      </c>
    </row>
    <row r="41" spans="2:17" ht="15.5" x14ac:dyDescent="0.35">
      <c r="B41" s="26" t="s">
        <v>57</v>
      </c>
    </row>
    <row r="42" spans="2:17" x14ac:dyDescent="0.35">
      <c r="C42" s="36" t="s">
        <v>58</v>
      </c>
      <c r="D42" s="37" t="s">
        <v>17</v>
      </c>
    </row>
    <row r="43" spans="2:17" x14ac:dyDescent="0.35">
      <c r="B43" s="27" t="s">
        <v>13</v>
      </c>
      <c r="C43" s="33">
        <f>J27-J25</f>
        <v>-6.8299999999999983</v>
      </c>
      <c r="D43" s="38">
        <f>(J25-J27)/J25</f>
        <v>7.1902305505842701E-2</v>
      </c>
    </row>
    <row r="44" spans="2:17" x14ac:dyDescent="0.35">
      <c r="B44" s="28" t="s">
        <v>55</v>
      </c>
      <c r="C44" s="33">
        <f>K27-K25</f>
        <v>-17.450000000000045</v>
      </c>
      <c r="D44" s="39">
        <f>(K25-K27)/K25</f>
        <v>3.9215245629017133E-2</v>
      </c>
    </row>
    <row r="45" spans="2:17" x14ac:dyDescent="0.35">
      <c r="B45" s="29" t="s">
        <v>15</v>
      </c>
      <c r="C45" s="34">
        <f>L27-L25</f>
        <v>-28.649999999999977</v>
      </c>
      <c r="D45" s="40">
        <f>(L25-L27)/L25</f>
        <v>4.8508347160610844E-2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>
    <tabColor theme="5" tint="-0.249977111117893"/>
  </sheetPr>
  <dimension ref="B17:Q45"/>
  <sheetViews>
    <sheetView topLeftCell="A16" workbookViewId="0"/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48</v>
      </c>
      <c r="E17" s="1" t="s">
        <v>72</v>
      </c>
    </row>
    <row r="18" spans="2:17" ht="15.5" x14ac:dyDescent="0.35">
      <c r="B18" s="7" t="s">
        <v>7</v>
      </c>
      <c r="C18" s="3" t="s">
        <v>62</v>
      </c>
    </row>
    <row r="19" spans="2:17" x14ac:dyDescent="0.35">
      <c r="B19" s="4"/>
      <c r="C19" s="4"/>
    </row>
    <row r="20" spans="2:17" x14ac:dyDescent="0.35">
      <c r="B20" s="4"/>
      <c r="C20" s="4"/>
    </row>
    <row r="21" spans="2:17" ht="21.5" thickBot="1" x14ac:dyDescent="0.4">
      <c r="B21" s="762" t="s">
        <v>50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51</v>
      </c>
      <c r="D22" s="769" t="s">
        <v>52</v>
      </c>
      <c r="E22" s="770"/>
      <c r="F22" s="770"/>
      <c r="G22" s="770"/>
      <c r="H22" s="770"/>
      <c r="I22" s="771"/>
      <c r="J22" s="772" t="s">
        <v>53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54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55</v>
      </c>
      <c r="L23" s="148" t="s">
        <v>15</v>
      </c>
      <c r="M23" s="353"/>
    </row>
    <row r="24" spans="2:17" x14ac:dyDescent="0.35">
      <c r="B24" s="183"/>
      <c r="C24" s="184">
        <v>41821</v>
      </c>
      <c r="D24" s="185"/>
      <c r="E24" s="186">
        <v>1</v>
      </c>
      <c r="F24" s="186"/>
      <c r="G24" s="186"/>
      <c r="H24" s="186"/>
      <c r="I24" s="187" t="s">
        <v>61</v>
      </c>
      <c r="J24" s="198">
        <v>1513.01</v>
      </c>
      <c r="K24" s="404">
        <v>2721.91</v>
      </c>
      <c r="L24" s="405">
        <v>4813.45</v>
      </c>
      <c r="M24" s="355"/>
      <c r="N24" s="35"/>
    </row>
    <row r="25" spans="2:17" x14ac:dyDescent="0.35">
      <c r="B25" s="183"/>
      <c r="C25" s="184">
        <v>42186</v>
      </c>
      <c r="D25" s="185"/>
      <c r="E25" s="186"/>
      <c r="F25" s="186"/>
      <c r="G25" s="186">
        <v>1</v>
      </c>
      <c r="H25" s="186">
        <v>1</v>
      </c>
      <c r="I25" s="187"/>
      <c r="J25" s="198">
        <v>1487.14</v>
      </c>
      <c r="K25" s="404">
        <v>2756.31</v>
      </c>
      <c r="L25" s="405">
        <v>4825.04</v>
      </c>
      <c r="M25" s="355"/>
      <c r="N25" s="35"/>
    </row>
    <row r="26" spans="2:17" x14ac:dyDescent="0.35">
      <c r="B26" s="9"/>
      <c r="C26" s="21"/>
      <c r="D26" s="164"/>
      <c r="E26" s="10"/>
      <c r="F26" s="10"/>
      <c r="G26" s="10"/>
      <c r="H26" s="10"/>
      <c r="I26" s="163"/>
      <c r="J26" s="9"/>
      <c r="K26" s="41"/>
      <c r="L26" s="43"/>
      <c r="M26" s="195"/>
      <c r="N26" s="35"/>
    </row>
    <row r="27" spans="2:17" x14ac:dyDescent="0.35">
      <c r="B27" s="9"/>
      <c r="C27" s="21"/>
      <c r="D27" s="164"/>
      <c r="E27" s="10"/>
      <c r="F27" s="10"/>
      <c r="G27" s="10"/>
      <c r="H27" s="10"/>
      <c r="I27" s="163"/>
      <c r="J27" s="9"/>
      <c r="K27" s="41"/>
      <c r="L27" s="43"/>
      <c r="M27" s="195"/>
      <c r="N27" s="35"/>
    </row>
    <row r="28" spans="2:17" x14ac:dyDescent="0.35">
      <c r="B28" s="9"/>
      <c r="C28" s="21"/>
      <c r="D28" s="164"/>
      <c r="E28" s="10"/>
      <c r="F28" s="10"/>
      <c r="G28" s="10"/>
      <c r="H28" s="10"/>
      <c r="I28" s="163"/>
      <c r="J28" s="9"/>
      <c r="K28" s="41"/>
      <c r="L28" s="43"/>
      <c r="M28" s="195"/>
      <c r="N28" s="35"/>
    </row>
    <row r="29" spans="2:17" ht="15" thickBot="1" x14ac:dyDescent="0.4">
      <c r="B29" s="9"/>
      <c r="C29" s="21"/>
      <c r="D29" s="164"/>
      <c r="E29" s="10"/>
      <c r="F29" s="10"/>
      <c r="G29" s="10"/>
      <c r="H29" s="10"/>
      <c r="I29" s="163"/>
      <c r="J29" s="9"/>
      <c r="K29" s="41"/>
      <c r="L29" s="43"/>
      <c r="M29" s="195"/>
      <c r="N29" s="35"/>
    </row>
    <row r="30" spans="2:17" x14ac:dyDescent="0.35">
      <c r="B30" s="9"/>
      <c r="C30" s="21"/>
      <c r="D30" s="164"/>
      <c r="E30" s="10"/>
      <c r="F30" s="10"/>
      <c r="G30" s="10"/>
      <c r="H30" s="10"/>
      <c r="I30" s="163"/>
      <c r="J30" s="9"/>
      <c r="K30" s="41"/>
      <c r="L30" s="43"/>
      <c r="M30" s="195"/>
      <c r="N30" s="35"/>
      <c r="O30" s="759" t="s">
        <v>159</v>
      </c>
      <c r="P30" s="760"/>
      <c r="Q30" s="761"/>
    </row>
    <row r="31" spans="2:17" ht="15" thickBot="1" x14ac:dyDescent="0.4">
      <c r="B31" s="9"/>
      <c r="C31" s="21"/>
      <c r="D31" s="164"/>
      <c r="E31" s="10"/>
      <c r="F31" s="10"/>
      <c r="G31" s="10"/>
      <c r="H31" s="10"/>
      <c r="I31" s="163"/>
      <c r="J31" s="9"/>
      <c r="K31" s="41"/>
      <c r="L31" s="43"/>
      <c r="M31" s="195"/>
      <c r="N31" s="35"/>
      <c r="O31" s="346" t="s">
        <v>13</v>
      </c>
      <c r="P31" s="347" t="s">
        <v>55</v>
      </c>
      <c r="Q31" s="348" t="s">
        <v>15</v>
      </c>
    </row>
    <row r="32" spans="2:17" x14ac:dyDescent="0.35">
      <c r="B32" s="9"/>
      <c r="C32" s="21"/>
      <c r="D32" s="164"/>
      <c r="E32" s="10"/>
      <c r="F32" s="10"/>
      <c r="G32" s="10"/>
      <c r="H32" s="10"/>
      <c r="I32" s="163"/>
      <c r="J32" s="9"/>
      <c r="K32" s="41"/>
      <c r="L32" s="43"/>
      <c r="M32" s="195"/>
      <c r="N32" s="35" t="s">
        <v>160</v>
      </c>
      <c r="O32" s="360">
        <f>(J25-J24)/(($C25-$C24))</f>
        <v>-7.0876712328766828E-2</v>
      </c>
      <c r="P32" s="360">
        <f>(K25-K24)/(($C25-$C24))</f>
        <v>9.4246575342465999E-2</v>
      </c>
      <c r="Q32" s="360">
        <f>(L25-L24)/(($C25-$C24))</f>
        <v>3.1753424657534647E-2</v>
      </c>
    </row>
    <row r="33" spans="2:17" x14ac:dyDescent="0.35">
      <c r="B33" s="9"/>
      <c r="C33" s="21"/>
      <c r="D33" s="164"/>
      <c r="E33" s="10"/>
      <c r="F33" s="10"/>
      <c r="G33" s="10"/>
      <c r="H33" s="10"/>
      <c r="I33" s="163"/>
      <c r="J33" s="9"/>
      <c r="K33" s="41"/>
      <c r="L33" s="43"/>
      <c r="M33" s="195"/>
      <c r="N33" s="35" t="s">
        <v>161</v>
      </c>
      <c r="O33" s="359">
        <f>O32/J24</f>
        <v>-4.6844840634739249E-5</v>
      </c>
      <c r="P33" s="359">
        <f>P32/K24</f>
        <v>3.4625162236248078E-5</v>
      </c>
      <c r="Q33" s="359">
        <f>Q32/L24</f>
        <v>6.5968119867318968E-6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41"/>
      <c r="L34" s="43"/>
      <c r="M34" s="195"/>
      <c r="N34" s="35"/>
    </row>
    <row r="35" spans="2:17" x14ac:dyDescent="0.35">
      <c r="B35" s="9"/>
      <c r="C35" s="21"/>
      <c r="D35" s="164"/>
      <c r="E35" s="10"/>
      <c r="F35" s="10"/>
      <c r="G35" s="10"/>
      <c r="H35" s="10"/>
      <c r="I35" s="163"/>
      <c r="J35" s="9"/>
      <c r="K35" s="41"/>
      <c r="L35" s="43"/>
      <c r="M35" s="195"/>
      <c r="N35" s="35"/>
    </row>
    <row r="36" spans="2:17" x14ac:dyDescent="0.35">
      <c r="B36" s="9"/>
      <c r="C36" s="21"/>
      <c r="D36" s="164"/>
      <c r="E36" s="10"/>
      <c r="F36" s="10"/>
      <c r="G36" s="10"/>
      <c r="H36" s="10"/>
      <c r="I36" s="163"/>
      <c r="J36" s="9"/>
      <c r="K36" s="41"/>
      <c r="L36" s="43"/>
      <c r="M36" s="195"/>
      <c r="N36" s="35"/>
    </row>
    <row r="37" spans="2:17" x14ac:dyDescent="0.35">
      <c r="B37" s="9"/>
      <c r="C37" s="21"/>
      <c r="D37" s="164"/>
      <c r="E37" s="10"/>
      <c r="F37" s="10"/>
      <c r="G37" s="10"/>
      <c r="H37" s="10"/>
      <c r="I37" s="163"/>
      <c r="J37" s="9"/>
      <c r="K37" s="41"/>
      <c r="L37" s="43"/>
      <c r="M37" s="195"/>
      <c r="N37" s="35"/>
    </row>
    <row r="38" spans="2:17" x14ac:dyDescent="0.35">
      <c r="B38" s="9"/>
      <c r="C38" s="21"/>
      <c r="D38" s="164"/>
      <c r="E38" s="10"/>
      <c r="F38" s="10"/>
      <c r="G38" s="10"/>
      <c r="H38" s="10"/>
      <c r="I38" s="163"/>
      <c r="J38" s="9"/>
      <c r="K38" s="41"/>
      <c r="L38" s="43"/>
      <c r="M38" s="195"/>
      <c r="N38" s="35"/>
    </row>
    <row r="39" spans="2:17" x14ac:dyDescent="0.35">
      <c r="B39" s="11"/>
      <c r="C39" s="22"/>
      <c r="D39" s="19"/>
      <c r="E39" s="12"/>
      <c r="F39" s="12"/>
      <c r="G39" s="12"/>
      <c r="H39" s="12"/>
      <c r="I39" s="25"/>
      <c r="J39" s="11"/>
      <c r="K39" s="12"/>
      <c r="L39" s="13"/>
      <c r="M39" s="82"/>
      <c r="N39" s="35"/>
    </row>
    <row r="40" spans="2:17" x14ac:dyDescent="0.35">
      <c r="F40" s="193"/>
      <c r="G40" s="35" t="s">
        <v>128</v>
      </c>
    </row>
    <row r="41" spans="2:17" ht="15.5" x14ac:dyDescent="0.35">
      <c r="B41" s="26" t="s">
        <v>57</v>
      </c>
    </row>
    <row r="42" spans="2:17" x14ac:dyDescent="0.35">
      <c r="C42" s="36" t="s">
        <v>58</v>
      </c>
      <c r="D42" s="37" t="s">
        <v>17</v>
      </c>
    </row>
    <row r="43" spans="2:17" x14ac:dyDescent="0.35">
      <c r="B43" s="27" t="s">
        <v>13</v>
      </c>
      <c r="C43" s="33">
        <f>J25-J24</f>
        <v>-25.869999999999891</v>
      </c>
      <c r="D43" s="38">
        <f>(J24-J25)/J24</f>
        <v>1.7098366831679826E-2</v>
      </c>
    </row>
    <row r="44" spans="2:17" x14ac:dyDescent="0.35">
      <c r="B44" s="28" t="s">
        <v>55</v>
      </c>
      <c r="C44" s="33">
        <f>K25-K24</f>
        <v>34.400000000000091</v>
      </c>
      <c r="D44" s="39">
        <f>(K24-K25)/K24</f>
        <v>-1.2638184216230549E-2</v>
      </c>
    </row>
    <row r="45" spans="2:17" x14ac:dyDescent="0.35">
      <c r="B45" s="29" t="s">
        <v>15</v>
      </c>
      <c r="C45" s="34">
        <f>L25-L24</f>
        <v>11.590000000000146</v>
      </c>
      <c r="D45" s="40">
        <f>(L24-L25)/L24</f>
        <v>-2.4078363751571423E-3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>
    <tabColor theme="4" tint="-0.249977111117893"/>
  </sheetPr>
  <dimension ref="B16:Q41"/>
  <sheetViews>
    <sheetView topLeftCell="B22" zoomScale="85" zoomScaleNormal="85" workbookViewId="0">
      <selection activeCell="N36" sqref="N36"/>
    </sheetView>
  </sheetViews>
  <sheetFormatPr baseColWidth="10" defaultRowHeight="14.5" x14ac:dyDescent="0.35"/>
  <cols>
    <col min="9" max="9" width="11.26953125" bestFit="1" customWidth="1"/>
    <col min="13" max="13" width="5.26953125" style="135" customWidth="1"/>
    <col min="14" max="14" width="34.26953125" bestFit="1" customWidth="1"/>
    <col min="15" max="15" width="12" bestFit="1" customWidth="1"/>
  </cols>
  <sheetData>
    <row r="16" spans="14:16" x14ac:dyDescent="0.35">
      <c r="N16" s="74" t="s">
        <v>31</v>
      </c>
      <c r="O16" s="75">
        <v>606.9</v>
      </c>
      <c r="P16" s="155"/>
    </row>
    <row r="17" spans="2:17" ht="15.5" x14ac:dyDescent="0.35">
      <c r="B17" s="6" t="s">
        <v>6</v>
      </c>
      <c r="C17" s="2" t="s">
        <v>32</v>
      </c>
      <c r="E17" s="1" t="s">
        <v>72</v>
      </c>
      <c r="N17" s="76" t="s">
        <v>33</v>
      </c>
      <c r="O17" s="77">
        <v>620.14</v>
      </c>
      <c r="P17" s="156"/>
    </row>
    <row r="18" spans="2:17" ht="15.5" x14ac:dyDescent="0.35">
      <c r="B18" s="7" t="s">
        <v>7</v>
      </c>
      <c r="C18" s="3" t="s">
        <v>34</v>
      </c>
      <c r="N18" s="78" t="s">
        <v>35</v>
      </c>
      <c r="O18" s="79">
        <v>646.5</v>
      </c>
      <c r="P18" s="80"/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07"/>
      <c r="C24" s="108"/>
      <c r="D24" s="160"/>
      <c r="E24" s="172"/>
      <c r="F24" s="172"/>
      <c r="G24" s="172"/>
      <c r="H24" s="172"/>
      <c r="I24" s="173"/>
      <c r="J24" s="109"/>
      <c r="K24" s="110"/>
      <c r="L24" s="111"/>
      <c r="M24" s="223"/>
      <c r="O24" s="87"/>
      <c r="P24" s="88"/>
    </row>
    <row r="25" spans="2:17" x14ac:dyDescent="0.35">
      <c r="B25" s="112"/>
      <c r="C25" s="113"/>
      <c r="D25" s="162"/>
      <c r="E25" s="175"/>
      <c r="F25" s="175"/>
      <c r="G25" s="175"/>
      <c r="H25" s="175"/>
      <c r="I25" s="176"/>
      <c r="J25" s="114"/>
      <c r="K25" s="115"/>
      <c r="L25" s="116"/>
      <c r="M25" s="223"/>
      <c r="O25" s="87"/>
      <c r="P25" s="88"/>
    </row>
    <row r="26" spans="2:17" x14ac:dyDescent="0.35">
      <c r="B26" s="107"/>
      <c r="C26" s="113"/>
      <c r="D26" s="162"/>
      <c r="E26" s="175"/>
      <c r="F26" s="175"/>
      <c r="G26" s="175"/>
      <c r="H26" s="175"/>
      <c r="I26" s="176"/>
      <c r="J26" s="114"/>
      <c r="K26" s="115"/>
      <c r="L26" s="116"/>
      <c r="M26" s="223"/>
      <c r="O26" s="87"/>
      <c r="P26" s="88"/>
    </row>
    <row r="27" spans="2:17" x14ac:dyDescent="0.35">
      <c r="B27" s="183">
        <v>4</v>
      </c>
      <c r="C27" s="406">
        <v>2004</v>
      </c>
      <c r="D27" s="197"/>
      <c r="E27" s="186"/>
      <c r="F27" s="186">
        <v>1</v>
      </c>
      <c r="G27" s="186"/>
      <c r="H27" s="186"/>
      <c r="I27" s="187"/>
      <c r="J27" s="198">
        <v>7.15</v>
      </c>
      <c r="K27" s="199">
        <v>23.5</v>
      </c>
      <c r="L27" s="200">
        <v>38</v>
      </c>
      <c r="M27" s="223"/>
      <c r="N27" s="35" t="s">
        <v>37</v>
      </c>
      <c r="O27" s="87"/>
      <c r="P27" s="88"/>
    </row>
    <row r="28" spans="2:17" x14ac:dyDescent="0.35">
      <c r="B28" s="188">
        <v>5</v>
      </c>
      <c r="C28" s="406">
        <v>2011</v>
      </c>
      <c r="D28" s="185"/>
      <c r="E28" s="186">
        <v>1</v>
      </c>
      <c r="F28" s="186"/>
      <c r="G28" s="186">
        <v>1</v>
      </c>
      <c r="H28" s="186"/>
      <c r="I28" s="187"/>
      <c r="J28" s="198">
        <v>10.42</v>
      </c>
      <c r="K28" s="199">
        <v>27.46</v>
      </c>
      <c r="L28" s="200">
        <v>44.74</v>
      </c>
      <c r="M28" s="223"/>
      <c r="N28" s="35"/>
      <c r="O28" s="87"/>
      <c r="P28" s="88"/>
    </row>
    <row r="29" spans="2:17" ht="15" thickBot="1" x14ac:dyDescent="0.4">
      <c r="B29" s="183">
        <v>6</v>
      </c>
      <c r="C29" s="406">
        <v>2017</v>
      </c>
      <c r="D29" s="185"/>
      <c r="E29" s="186"/>
      <c r="F29" s="186"/>
      <c r="G29" s="186">
        <v>1</v>
      </c>
      <c r="H29" s="186">
        <v>1</v>
      </c>
      <c r="I29" s="187"/>
      <c r="J29" s="198">
        <v>9.6999999999999993</v>
      </c>
      <c r="K29" s="199">
        <v>31.77</v>
      </c>
      <c r="L29" s="200">
        <v>48.2</v>
      </c>
      <c r="M29" s="223"/>
      <c r="O29" s="93"/>
      <c r="P29" s="88"/>
    </row>
    <row r="30" spans="2:17" ht="15" thickBot="1" x14ac:dyDescent="0.4">
      <c r="B30" s="11"/>
      <c r="C30" s="22"/>
      <c r="D30" s="180"/>
      <c r="E30" s="181"/>
      <c r="F30" s="181"/>
      <c r="G30" s="181"/>
      <c r="H30" s="181"/>
      <c r="I30" s="182"/>
      <c r="J30" s="94"/>
      <c r="K30" s="95"/>
      <c r="L30" s="96"/>
      <c r="M30" s="223"/>
      <c r="O30" s="759" t="s">
        <v>159</v>
      </c>
      <c r="P30" s="760"/>
      <c r="Q30" s="761"/>
    </row>
    <row r="31" spans="2:17" ht="15" thickBot="1" x14ac:dyDescent="0.4">
      <c r="B31" s="97"/>
      <c r="C31" s="98"/>
      <c r="D31" s="177"/>
      <c r="E31" s="178"/>
      <c r="F31" s="178"/>
      <c r="G31" s="178"/>
      <c r="H31" s="178"/>
      <c r="I31" s="179"/>
      <c r="J31" s="149" t="s">
        <v>38</v>
      </c>
      <c r="K31" s="150"/>
      <c r="L31" s="151"/>
      <c r="M31" s="353"/>
      <c r="O31" s="346" t="s">
        <v>13</v>
      </c>
      <c r="P31" s="347" t="s">
        <v>14</v>
      </c>
      <c r="Q31" s="348" t="s">
        <v>15</v>
      </c>
    </row>
    <row r="32" spans="2:17" x14ac:dyDescent="0.35">
      <c r="B32" s="183">
        <v>4</v>
      </c>
      <c r="C32" s="406">
        <v>2004</v>
      </c>
      <c r="D32" s="197"/>
      <c r="E32" s="186"/>
      <c r="F32" s="186">
        <v>1</v>
      </c>
      <c r="G32" s="186"/>
      <c r="H32" s="186"/>
      <c r="I32" s="187"/>
      <c r="J32" s="210">
        <v>38.619999999999997</v>
      </c>
      <c r="K32" s="408"/>
      <c r="L32" s="409"/>
      <c r="M32" s="82"/>
      <c r="N32" t="s">
        <v>160</v>
      </c>
      <c r="O32" s="361">
        <f>(J28-J29)/(($C29-$C28))</f>
        <v>0.12000000000000011</v>
      </c>
      <c r="P32" s="446">
        <f>(K27-K29)/(($C29-$C27))</f>
        <v>-0.63615384615384607</v>
      </c>
      <c r="Q32" s="446">
        <f>(L27-L29)/(($C29-$C27))</f>
        <v>-0.78461538461538483</v>
      </c>
    </row>
    <row r="33" spans="2:17" x14ac:dyDescent="0.35">
      <c r="B33" s="183">
        <v>5</v>
      </c>
      <c r="C33" s="406">
        <v>2011</v>
      </c>
      <c r="D33" s="185"/>
      <c r="E33" s="186"/>
      <c r="F33" s="186"/>
      <c r="G33" s="186">
        <v>1</v>
      </c>
      <c r="H33" s="186"/>
      <c r="I33" s="187"/>
      <c r="J33" s="210">
        <v>37.14</v>
      </c>
      <c r="K33" s="408"/>
      <c r="L33" s="409"/>
      <c r="M33" s="82"/>
      <c r="N33" t="s">
        <v>161</v>
      </c>
      <c r="O33" s="605">
        <f>O32/J28</f>
        <v>1.1516314779270644E-2</v>
      </c>
      <c r="P33" s="362">
        <f>P32/K27</f>
        <v>-2.7070376432078557E-2</v>
      </c>
      <c r="Q33" s="362">
        <f>Q32/L27</f>
        <v>-2.0647773279352234E-2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  <c r="O34" s="88"/>
      <c r="P34" s="88"/>
    </row>
    <row r="35" spans="2:17" x14ac:dyDescent="0.35">
      <c r="B35" s="11"/>
      <c r="C35" s="22"/>
      <c r="D35" s="165"/>
      <c r="E35" s="122"/>
      <c r="F35" s="122"/>
      <c r="G35" s="122"/>
      <c r="H35" s="122"/>
      <c r="I35" s="166"/>
      <c r="J35" s="11"/>
      <c r="K35" s="12"/>
      <c r="L35" s="13"/>
      <c r="M35" s="82"/>
      <c r="O35" s="88"/>
      <c r="P35" s="88"/>
    </row>
    <row r="36" spans="2:17" x14ac:dyDescent="0.35">
      <c r="D36" s="170"/>
      <c r="E36" s="170"/>
      <c r="F36" s="170"/>
      <c r="G36" s="170"/>
      <c r="H36" s="170"/>
      <c r="I36" s="170"/>
    </row>
    <row r="37" spans="2:17" ht="15.5" x14ac:dyDescent="0.35">
      <c r="B37" s="26" t="s">
        <v>18</v>
      </c>
      <c r="D37" s="170"/>
      <c r="E37" s="170"/>
      <c r="F37" s="170"/>
      <c r="G37" s="170"/>
      <c r="H37" s="170"/>
      <c r="I37" s="170"/>
    </row>
    <row r="38" spans="2:17" x14ac:dyDescent="0.35">
      <c r="C38" s="99" t="s">
        <v>16</v>
      </c>
      <c r="D38" s="171" t="s">
        <v>17</v>
      </c>
      <c r="E38" s="170"/>
      <c r="F38" s="170"/>
      <c r="G38" s="170"/>
      <c r="H38" s="170"/>
      <c r="I38" s="170"/>
    </row>
    <row r="39" spans="2:17" x14ac:dyDescent="0.35">
      <c r="B39" s="27" t="s">
        <v>13</v>
      </c>
      <c r="C39" s="101">
        <f>J29-J27</f>
        <v>2.5499999999999989</v>
      </c>
      <c r="D39" s="102">
        <f>(J27-J29)/J27</f>
        <v>-0.3566433566433565</v>
      </c>
    </row>
    <row r="40" spans="2:17" x14ac:dyDescent="0.35">
      <c r="B40" s="28" t="s">
        <v>14</v>
      </c>
      <c r="C40" s="103">
        <f>K29-K27</f>
        <v>8.27</v>
      </c>
      <c r="D40" s="104">
        <f>(K27-K29)/K27</f>
        <v>-0.35191489361702127</v>
      </c>
      <c r="F40" s="193"/>
      <c r="G40" s="35" t="s">
        <v>128</v>
      </c>
    </row>
    <row r="41" spans="2:17" x14ac:dyDescent="0.35">
      <c r="B41" s="29" t="s">
        <v>15</v>
      </c>
      <c r="C41" s="105">
        <f>L29-L27</f>
        <v>10.200000000000003</v>
      </c>
      <c r="D41" s="106">
        <f>(L27-L29)/L27</f>
        <v>-0.268421052631579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>
    <tabColor theme="4" tint="-0.249977111117893"/>
  </sheetPr>
  <dimension ref="B16:Q44"/>
  <sheetViews>
    <sheetView topLeftCell="B12" workbookViewId="0">
      <selection activeCell="C44" sqref="C44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6" spans="14:16" x14ac:dyDescent="0.35">
      <c r="N16" s="74" t="s">
        <v>31</v>
      </c>
      <c r="O16" s="75">
        <v>1155</v>
      </c>
      <c r="P16" s="155"/>
    </row>
    <row r="17" spans="2:17" ht="15.5" x14ac:dyDescent="0.35">
      <c r="B17" s="6" t="s">
        <v>6</v>
      </c>
      <c r="C17" s="2" t="s">
        <v>32</v>
      </c>
      <c r="E17" s="1" t="s">
        <v>72</v>
      </c>
      <c r="N17" s="76" t="s">
        <v>33</v>
      </c>
      <c r="O17" s="77">
        <v>1105</v>
      </c>
      <c r="P17" s="156"/>
    </row>
    <row r="18" spans="2:17" ht="15.5" x14ac:dyDescent="0.35">
      <c r="B18" s="7" t="s">
        <v>7</v>
      </c>
      <c r="C18" s="3" t="s">
        <v>39</v>
      </c>
      <c r="N18" s="78" t="s">
        <v>35</v>
      </c>
      <c r="O18" s="79">
        <v>1087</v>
      </c>
      <c r="P18" s="80"/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07"/>
      <c r="C24" s="108"/>
      <c r="D24" s="160"/>
      <c r="E24" s="172"/>
      <c r="F24" s="172"/>
      <c r="G24" s="172"/>
      <c r="H24" s="172"/>
      <c r="I24" s="173"/>
      <c r="J24" s="109"/>
      <c r="K24" s="110"/>
      <c r="L24" s="111"/>
      <c r="M24" s="223"/>
      <c r="O24" s="87"/>
      <c r="P24" s="88"/>
    </row>
    <row r="25" spans="2:17" x14ac:dyDescent="0.35">
      <c r="B25" s="183">
        <v>2</v>
      </c>
      <c r="C25" s="406">
        <v>1995</v>
      </c>
      <c r="D25" s="197"/>
      <c r="E25" s="186"/>
      <c r="F25" s="186">
        <v>1</v>
      </c>
      <c r="G25" s="186"/>
      <c r="H25" s="186"/>
      <c r="I25" s="187"/>
      <c r="J25" s="198">
        <v>68.84</v>
      </c>
      <c r="K25" s="199">
        <v>686</v>
      </c>
      <c r="L25" s="200">
        <v>856</v>
      </c>
      <c r="M25" s="223"/>
      <c r="O25" s="87"/>
      <c r="P25" s="88"/>
    </row>
    <row r="26" spans="2:17" x14ac:dyDescent="0.35">
      <c r="B26" s="183">
        <v>3</v>
      </c>
      <c r="C26" s="406">
        <v>2003</v>
      </c>
      <c r="D26" s="197"/>
      <c r="E26" s="186"/>
      <c r="F26" s="186"/>
      <c r="G26" s="186">
        <v>1</v>
      </c>
      <c r="H26" s="186"/>
      <c r="I26" s="187"/>
      <c r="J26" s="198">
        <v>65</v>
      </c>
      <c r="K26" s="199">
        <v>686</v>
      </c>
      <c r="L26" s="200">
        <v>856</v>
      </c>
      <c r="M26" s="223"/>
      <c r="N26" s="35" t="s">
        <v>40</v>
      </c>
      <c r="O26" s="87"/>
      <c r="P26" s="88"/>
    </row>
    <row r="27" spans="2:17" x14ac:dyDescent="0.35">
      <c r="B27" s="183">
        <v>4</v>
      </c>
      <c r="C27" s="406">
        <v>2011</v>
      </c>
      <c r="D27" s="205"/>
      <c r="E27" s="186">
        <v>1</v>
      </c>
      <c r="F27" s="186"/>
      <c r="G27" s="205">
        <v>1</v>
      </c>
      <c r="H27" s="186"/>
      <c r="I27" s="187"/>
      <c r="J27" s="198">
        <v>59.76</v>
      </c>
      <c r="K27" s="410">
        <v>696.89</v>
      </c>
      <c r="L27" s="200">
        <v>848.92</v>
      </c>
      <c r="M27" s="223"/>
      <c r="N27" s="35"/>
      <c r="O27" s="82"/>
      <c r="P27" s="88"/>
    </row>
    <row r="28" spans="2:17" x14ac:dyDescent="0.35">
      <c r="B28" s="183">
        <v>5</v>
      </c>
      <c r="C28" s="406">
        <v>2017</v>
      </c>
      <c r="D28" s="197"/>
      <c r="E28" s="186"/>
      <c r="F28" s="186"/>
      <c r="G28" s="186">
        <v>1</v>
      </c>
      <c r="H28" s="186">
        <v>1</v>
      </c>
      <c r="I28" s="187"/>
      <c r="J28" s="198">
        <v>67.92</v>
      </c>
      <c r="K28" s="199">
        <v>714.74</v>
      </c>
      <c r="L28" s="200">
        <v>876.31</v>
      </c>
      <c r="M28" s="223"/>
      <c r="O28" s="87"/>
      <c r="P28" s="88"/>
    </row>
    <row r="29" spans="2:17" ht="15" thickBot="1" x14ac:dyDescent="0.4">
      <c r="B29" s="112"/>
      <c r="C29" s="113"/>
      <c r="D29" s="164"/>
      <c r="E29" s="175"/>
      <c r="F29" s="175"/>
      <c r="G29" s="175"/>
      <c r="H29" s="175"/>
      <c r="I29" s="176"/>
      <c r="J29" s="114"/>
      <c r="K29" s="115"/>
      <c r="L29" s="116"/>
      <c r="M29" s="223"/>
      <c r="O29" s="87"/>
      <c r="P29" s="88"/>
    </row>
    <row r="30" spans="2:17" ht="15" thickBot="1" x14ac:dyDescent="0.4">
      <c r="B30" s="112"/>
      <c r="C30" s="117"/>
      <c r="D30" s="164"/>
      <c r="E30" s="175"/>
      <c r="F30" s="175"/>
      <c r="G30" s="175"/>
      <c r="H30" s="175"/>
      <c r="I30" s="176"/>
      <c r="J30" s="114"/>
      <c r="K30" s="115"/>
      <c r="L30" s="116"/>
      <c r="M30" s="223"/>
      <c r="O30" s="759" t="s">
        <v>159</v>
      </c>
      <c r="P30" s="760"/>
      <c r="Q30" s="761"/>
    </row>
    <row r="31" spans="2:17" ht="15" thickBot="1" x14ac:dyDescent="0.4">
      <c r="B31" s="97"/>
      <c r="C31" s="98"/>
      <c r="D31" s="177"/>
      <c r="E31" s="178"/>
      <c r="F31" s="178"/>
      <c r="G31" s="178"/>
      <c r="H31" s="178"/>
      <c r="I31" s="179"/>
      <c r="J31" s="149" t="s">
        <v>41</v>
      </c>
      <c r="K31" s="150"/>
      <c r="L31" s="151"/>
      <c r="M31" s="353"/>
      <c r="O31" s="346" t="s">
        <v>13</v>
      </c>
      <c r="P31" s="347" t="s">
        <v>14</v>
      </c>
      <c r="Q31" s="348" t="s">
        <v>15</v>
      </c>
    </row>
    <row r="32" spans="2:17" x14ac:dyDescent="0.35">
      <c r="B32" s="9"/>
      <c r="C32" s="89"/>
      <c r="D32" s="162"/>
      <c r="E32" s="10"/>
      <c r="F32" s="10"/>
      <c r="G32" s="10"/>
      <c r="H32" s="10"/>
      <c r="I32" s="163"/>
      <c r="J32" s="152"/>
      <c r="K32" s="153"/>
      <c r="L32" s="154"/>
      <c r="M32" s="82"/>
      <c r="N32" t="s">
        <v>160</v>
      </c>
      <c r="O32" s="361">
        <f>(J25-J28)/(($C28-$C25))</f>
        <v>4.1818181818181893E-2</v>
      </c>
      <c r="P32" s="361">
        <f>(K25-K28)/(($C28-$C25))</f>
        <v>-1.3063636363636368</v>
      </c>
      <c r="Q32" s="361">
        <f>(L25-L28)/(($C28-$C25))</f>
        <v>-0.92318181818181566</v>
      </c>
    </row>
    <row r="33" spans="2:17" x14ac:dyDescent="0.35">
      <c r="B33" s="9"/>
      <c r="C33" s="89"/>
      <c r="D33" s="164"/>
      <c r="E33" s="10"/>
      <c r="F33" s="10"/>
      <c r="G33" s="10"/>
      <c r="H33" s="10"/>
      <c r="I33" s="163"/>
      <c r="J33" s="152"/>
      <c r="K33" s="153"/>
      <c r="L33" s="154"/>
      <c r="M33" s="82"/>
      <c r="N33" t="s">
        <v>161</v>
      </c>
      <c r="O33" s="362">
        <f>O32/J25</f>
        <v>6.0746923036289794E-4</v>
      </c>
      <c r="P33" s="362">
        <f>P32/K25</f>
        <v>-1.9043201696262928E-3</v>
      </c>
      <c r="Q33" s="362">
        <f>Q32/L25</f>
        <v>-1.0784834324553921E-3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  <c r="O34" s="88"/>
      <c r="P34" s="88"/>
    </row>
    <row r="35" spans="2:17" x14ac:dyDescent="0.35">
      <c r="B35" s="9"/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  <c r="O35" s="88"/>
      <c r="P35" s="88"/>
    </row>
    <row r="36" spans="2:17" x14ac:dyDescent="0.35">
      <c r="B36" s="9"/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  <c r="O36" s="88"/>
      <c r="P36" s="88"/>
    </row>
    <row r="37" spans="2:17" x14ac:dyDescent="0.35">
      <c r="B37" s="9"/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  <c r="O37" s="88"/>
      <c r="P37" s="88"/>
    </row>
    <row r="38" spans="2:17" x14ac:dyDescent="0.35">
      <c r="B38" s="11"/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  <c r="O38" s="88"/>
      <c r="P38" s="88"/>
    </row>
    <row r="40" spans="2:17" ht="15.5" x14ac:dyDescent="0.35">
      <c r="B40" s="26" t="s">
        <v>18</v>
      </c>
      <c r="F40" s="193"/>
      <c r="G40" s="35" t="s">
        <v>128</v>
      </c>
    </row>
    <row r="41" spans="2:17" x14ac:dyDescent="0.35">
      <c r="C41" s="99" t="s">
        <v>16</v>
      </c>
      <c r="D41" s="100" t="s">
        <v>17</v>
      </c>
    </row>
    <row r="42" spans="2:17" x14ac:dyDescent="0.35">
      <c r="B42" s="27" t="s">
        <v>13</v>
      </c>
      <c r="C42" s="101">
        <f>J28-J25</f>
        <v>-0.92000000000000171</v>
      </c>
      <c r="D42" s="102">
        <f>(J25-J28)/J25</f>
        <v>1.3364323067983755E-2</v>
      </c>
    </row>
    <row r="43" spans="2:17" x14ac:dyDescent="0.35">
      <c r="B43" s="28" t="s">
        <v>14</v>
      </c>
      <c r="C43" s="103">
        <f>K28-K25</f>
        <v>28.740000000000009</v>
      </c>
      <c r="D43" s="104">
        <f>(K25-K28)/K25</f>
        <v>-4.1895043731778436E-2</v>
      </c>
    </row>
    <row r="44" spans="2:17" x14ac:dyDescent="0.35">
      <c r="B44" s="29" t="s">
        <v>15</v>
      </c>
      <c r="C44" s="105">
        <f>L28-L25</f>
        <v>20.309999999999945</v>
      </c>
      <c r="D44" s="106">
        <f>(L25-L28)/L25</f>
        <v>-2.3726635514018629E-2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1">
    <tabColor theme="4" tint="-0.249977111117893"/>
  </sheetPr>
  <dimension ref="B16:Q43"/>
  <sheetViews>
    <sheetView topLeftCell="B33" workbookViewId="0">
      <selection activeCell="C43" sqref="C43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6" spans="14:16" x14ac:dyDescent="0.35">
      <c r="N16" s="74" t="s">
        <v>31</v>
      </c>
      <c r="O16" s="75">
        <v>1408.5</v>
      </c>
      <c r="P16" s="155"/>
    </row>
    <row r="17" spans="2:17" ht="15.5" x14ac:dyDescent="0.35">
      <c r="B17" s="6" t="s">
        <v>6</v>
      </c>
      <c r="C17" s="2" t="s">
        <v>32</v>
      </c>
      <c r="E17" s="1" t="s">
        <v>72</v>
      </c>
      <c r="N17" s="76" t="s">
        <v>33</v>
      </c>
      <c r="O17" s="77">
        <v>1380</v>
      </c>
      <c r="P17" s="156"/>
    </row>
    <row r="18" spans="2:17" ht="15.5" x14ac:dyDescent="0.35">
      <c r="B18" s="7" t="s">
        <v>7</v>
      </c>
      <c r="C18" s="3" t="s">
        <v>42</v>
      </c>
      <c r="N18" s="78" t="s">
        <v>35</v>
      </c>
      <c r="O18" s="79">
        <v>1355</v>
      </c>
      <c r="P18" s="80"/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07"/>
      <c r="C24" s="108"/>
      <c r="D24" s="160"/>
      <c r="E24" s="172"/>
      <c r="F24" s="172"/>
      <c r="G24" s="172"/>
      <c r="H24" s="172"/>
      <c r="I24" s="173"/>
      <c r="J24" s="109"/>
      <c r="K24" s="110"/>
      <c r="L24" s="111"/>
      <c r="M24" s="223"/>
      <c r="O24" s="87"/>
      <c r="P24" s="88"/>
    </row>
    <row r="25" spans="2:17" x14ac:dyDescent="0.35">
      <c r="B25" s="183">
        <v>2</v>
      </c>
      <c r="C25" s="406">
        <v>2004</v>
      </c>
      <c r="D25" s="197"/>
      <c r="E25" s="186"/>
      <c r="F25" s="186"/>
      <c r="G25" s="186">
        <v>1</v>
      </c>
      <c r="H25" s="186"/>
      <c r="I25" s="187"/>
      <c r="J25" s="198">
        <v>16.25</v>
      </c>
      <c r="K25" s="199">
        <v>437.5</v>
      </c>
      <c r="L25" s="200">
        <v>581</v>
      </c>
      <c r="M25" s="223"/>
      <c r="N25" s="35" t="s">
        <v>43</v>
      </c>
      <c r="O25" s="87"/>
      <c r="P25" s="88"/>
    </row>
    <row r="26" spans="2:17" x14ac:dyDescent="0.35">
      <c r="B26" s="183">
        <v>3</v>
      </c>
      <c r="C26" s="406">
        <v>2011</v>
      </c>
      <c r="D26" s="205"/>
      <c r="E26" s="186">
        <v>1</v>
      </c>
      <c r="F26" s="186"/>
      <c r="G26" s="205">
        <v>1</v>
      </c>
      <c r="H26" s="186"/>
      <c r="I26" s="187"/>
      <c r="J26" s="198">
        <v>12.92</v>
      </c>
      <c r="K26" s="199">
        <v>417.36</v>
      </c>
      <c r="L26" s="200">
        <v>529.25</v>
      </c>
      <c r="M26" s="223"/>
      <c r="N26" s="35"/>
      <c r="O26" s="82"/>
      <c r="P26" s="88"/>
    </row>
    <row r="27" spans="2:17" x14ac:dyDescent="0.35">
      <c r="B27" s="183">
        <v>4</v>
      </c>
      <c r="C27" s="406">
        <v>2017</v>
      </c>
      <c r="D27" s="197"/>
      <c r="E27" s="186"/>
      <c r="F27" s="186"/>
      <c r="G27" s="186">
        <v>1</v>
      </c>
      <c r="H27" s="186">
        <v>1</v>
      </c>
      <c r="I27" s="187"/>
      <c r="J27" s="198">
        <v>16.97</v>
      </c>
      <c r="K27" s="199">
        <v>424.66</v>
      </c>
      <c r="L27" s="200">
        <v>547.15</v>
      </c>
      <c r="M27" s="223"/>
      <c r="O27" s="87"/>
      <c r="P27" s="88"/>
    </row>
    <row r="28" spans="2:17" x14ac:dyDescent="0.35">
      <c r="B28" s="112"/>
      <c r="C28" s="113"/>
      <c r="D28" s="164"/>
      <c r="E28" s="175"/>
      <c r="F28" s="175"/>
      <c r="G28" s="175"/>
      <c r="H28" s="175"/>
      <c r="I28" s="176"/>
      <c r="J28" s="114"/>
      <c r="K28" s="115"/>
      <c r="L28" s="116"/>
      <c r="M28" s="223"/>
      <c r="O28" s="87"/>
      <c r="P28" s="88"/>
    </row>
    <row r="29" spans="2:17" ht="15" thickBot="1" x14ac:dyDescent="0.4">
      <c r="B29" s="97"/>
      <c r="C29" s="98"/>
      <c r="D29" s="177"/>
      <c r="E29" s="178"/>
      <c r="F29" s="178"/>
      <c r="G29" s="178"/>
      <c r="H29" s="178"/>
      <c r="I29" s="179"/>
      <c r="J29" s="149" t="s">
        <v>44</v>
      </c>
      <c r="K29" s="150"/>
      <c r="L29" s="151"/>
      <c r="M29" s="353"/>
      <c r="O29" s="93"/>
      <c r="P29" s="88"/>
    </row>
    <row r="30" spans="2:17" x14ac:dyDescent="0.35">
      <c r="B30" s="9"/>
      <c r="C30" s="89"/>
      <c r="D30" s="162"/>
      <c r="E30" s="10"/>
      <c r="F30" s="10"/>
      <c r="G30" s="10"/>
      <c r="H30" s="10"/>
      <c r="I30" s="163"/>
      <c r="J30" s="152"/>
      <c r="K30" s="153"/>
      <c r="L30" s="154"/>
      <c r="M30" s="82"/>
      <c r="O30" s="759" t="s">
        <v>159</v>
      </c>
      <c r="P30" s="760"/>
      <c r="Q30" s="761"/>
    </row>
    <row r="31" spans="2:17" ht="15" thickBot="1" x14ac:dyDescent="0.4">
      <c r="B31" s="9"/>
      <c r="C31" s="89"/>
      <c r="D31" s="164"/>
      <c r="E31" s="10"/>
      <c r="F31" s="10"/>
      <c r="G31" s="10"/>
      <c r="H31" s="10"/>
      <c r="I31" s="163"/>
      <c r="J31" s="152"/>
      <c r="K31" s="153"/>
      <c r="L31" s="154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/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1">
        <f>(J25-J27)/(($C27-$C25))</f>
        <v>-5.5384615384615296E-2</v>
      </c>
      <c r="P32" s="361">
        <f>(K25-K27)/(($C27-$C25))</f>
        <v>0.98769230769230576</v>
      </c>
      <c r="Q32" s="361">
        <f>(L25-L27)/(($C27-$C25))</f>
        <v>2.6038461538461557</v>
      </c>
    </row>
    <row r="33" spans="2:17" x14ac:dyDescent="0.35">
      <c r="B33" s="9"/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62">
        <f>O32/J25</f>
        <v>-3.4082840236686336E-3</v>
      </c>
      <c r="P33" s="362">
        <f>P32/K25</f>
        <v>2.2575824175824133E-3</v>
      </c>
      <c r="Q33" s="362">
        <f>Q32/L25</f>
        <v>4.4816629153978582E-3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  <c r="O34" s="88"/>
      <c r="P34" s="88"/>
    </row>
    <row r="35" spans="2:17" x14ac:dyDescent="0.35">
      <c r="B35" s="9"/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  <c r="O35" s="88"/>
      <c r="P35" s="88"/>
    </row>
    <row r="36" spans="2:17" x14ac:dyDescent="0.35">
      <c r="B36" s="9"/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  <c r="O36" s="88"/>
      <c r="P36" s="88"/>
    </row>
    <row r="37" spans="2:17" x14ac:dyDescent="0.35">
      <c r="B37" s="11"/>
      <c r="C37" s="22"/>
      <c r="D37" s="165"/>
      <c r="E37" s="122"/>
      <c r="F37" s="122"/>
      <c r="G37" s="122"/>
      <c r="H37" s="122"/>
      <c r="I37" s="166"/>
      <c r="J37" s="11"/>
      <c r="K37" s="12"/>
      <c r="L37" s="13"/>
      <c r="M37" s="82"/>
      <c r="O37" s="88"/>
      <c r="P37" s="88"/>
    </row>
    <row r="38" spans="2:17" x14ac:dyDescent="0.35">
      <c r="D38" s="170"/>
      <c r="E38" s="170"/>
      <c r="F38" s="170"/>
      <c r="G38" s="170"/>
      <c r="H38" s="170"/>
      <c r="I38" s="170"/>
    </row>
    <row r="39" spans="2:17" ht="15.5" x14ac:dyDescent="0.35">
      <c r="B39" s="26" t="s">
        <v>18</v>
      </c>
      <c r="F39" s="35"/>
    </row>
    <row r="40" spans="2:17" x14ac:dyDescent="0.35">
      <c r="C40" s="99" t="s">
        <v>16</v>
      </c>
      <c r="D40" s="100" t="s">
        <v>17</v>
      </c>
      <c r="F40" s="193"/>
      <c r="G40" s="35" t="s">
        <v>128</v>
      </c>
    </row>
    <row r="41" spans="2:17" x14ac:dyDescent="0.35">
      <c r="B41" s="27" t="s">
        <v>13</v>
      </c>
      <c r="C41" s="101">
        <f>J27-J25</f>
        <v>0.71999999999999886</v>
      </c>
      <c r="D41" s="102">
        <f>(J25-J27)/J25</f>
        <v>-4.4307692307692235E-2</v>
      </c>
    </row>
    <row r="42" spans="2:17" x14ac:dyDescent="0.35">
      <c r="B42" s="28" t="s">
        <v>14</v>
      </c>
      <c r="C42" s="103">
        <f>K27-K25</f>
        <v>-12.839999999999975</v>
      </c>
      <c r="D42" s="104">
        <f>(K25-K27)/K25</f>
        <v>2.934857142857137E-2</v>
      </c>
    </row>
    <row r="43" spans="2:17" x14ac:dyDescent="0.35">
      <c r="B43" s="29" t="s">
        <v>15</v>
      </c>
      <c r="C43" s="105">
        <f>L27-L25</f>
        <v>-33.850000000000023</v>
      </c>
      <c r="D43" s="106">
        <f>(L25-L27)/L25</f>
        <v>5.8261617900172154E-2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>
    <tabColor theme="4" tint="-0.249977111117893"/>
  </sheetPr>
  <dimension ref="B16:Q43"/>
  <sheetViews>
    <sheetView topLeftCell="A21" workbookViewId="0">
      <selection activeCell="C43" sqref="C43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6" spans="14:16" x14ac:dyDescent="0.35">
      <c r="N16" s="74" t="s">
        <v>31</v>
      </c>
      <c r="O16" s="75">
        <v>361.6</v>
      </c>
      <c r="P16" s="155"/>
    </row>
    <row r="17" spans="2:17" ht="15.5" x14ac:dyDescent="0.35">
      <c r="B17" s="6" t="s">
        <v>6</v>
      </c>
      <c r="C17" s="2" t="s">
        <v>32</v>
      </c>
      <c r="E17" s="1" t="s">
        <v>72</v>
      </c>
      <c r="N17" s="76" t="s">
        <v>33</v>
      </c>
      <c r="O17" s="77">
        <v>348.7</v>
      </c>
      <c r="P17" s="156"/>
    </row>
    <row r="18" spans="2:17" ht="15.5" x14ac:dyDescent="0.35">
      <c r="B18" s="7" t="s">
        <v>7</v>
      </c>
      <c r="C18" s="3" t="s">
        <v>45</v>
      </c>
      <c r="N18" s="78" t="s">
        <v>35</v>
      </c>
      <c r="O18" s="79">
        <v>334.5</v>
      </c>
      <c r="P18" s="80"/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07"/>
      <c r="C24" s="108"/>
      <c r="D24" s="160"/>
      <c r="E24" s="172"/>
      <c r="F24" s="172"/>
      <c r="G24" s="172"/>
      <c r="H24" s="172"/>
      <c r="I24" s="173"/>
      <c r="J24" s="109"/>
      <c r="K24" s="110"/>
      <c r="L24" s="111"/>
      <c r="M24" s="223"/>
      <c r="O24" s="87"/>
      <c r="P24" s="88"/>
    </row>
    <row r="25" spans="2:17" x14ac:dyDescent="0.35">
      <c r="B25" s="411">
        <v>2</v>
      </c>
      <c r="C25" s="597">
        <v>2005</v>
      </c>
      <c r="D25" s="197"/>
      <c r="E25" s="412"/>
      <c r="F25" s="412">
        <v>1</v>
      </c>
      <c r="G25" s="412"/>
      <c r="H25" s="412"/>
      <c r="I25" s="413"/>
      <c r="J25" s="414">
        <v>222.5</v>
      </c>
      <c r="K25" s="415">
        <v>443</v>
      </c>
      <c r="L25" s="416">
        <v>975</v>
      </c>
      <c r="M25" s="351"/>
      <c r="N25" s="119"/>
      <c r="O25" s="120"/>
      <c r="P25" s="88"/>
    </row>
    <row r="26" spans="2:17" x14ac:dyDescent="0.35">
      <c r="B26" s="183">
        <v>3</v>
      </c>
      <c r="C26" s="228">
        <v>2008</v>
      </c>
      <c r="D26" s="205"/>
      <c r="E26" s="186">
        <v>1</v>
      </c>
      <c r="F26" s="186">
        <v>1</v>
      </c>
      <c r="G26" s="205"/>
      <c r="H26" s="186"/>
      <c r="I26" s="187"/>
      <c r="J26" s="598">
        <v>365.2</v>
      </c>
      <c r="K26" s="599">
        <v>435.04</v>
      </c>
      <c r="L26" s="600">
        <v>1125.32</v>
      </c>
      <c r="M26" s="223"/>
      <c r="O26" s="82"/>
      <c r="P26" s="88"/>
    </row>
    <row r="27" spans="2:17" x14ac:dyDescent="0.35">
      <c r="B27" s="411">
        <v>4</v>
      </c>
      <c r="C27" s="228">
        <v>2014</v>
      </c>
      <c r="D27" s="197"/>
      <c r="E27" s="186"/>
      <c r="F27" s="186"/>
      <c r="G27" s="186">
        <v>1</v>
      </c>
      <c r="H27" s="186">
        <v>1</v>
      </c>
      <c r="I27" s="187"/>
      <c r="J27" s="598">
        <v>248.28</v>
      </c>
      <c r="K27" s="199">
        <v>420.67</v>
      </c>
      <c r="L27" s="200">
        <v>998.97</v>
      </c>
      <c r="M27" s="223"/>
      <c r="O27" s="87"/>
      <c r="P27" s="88"/>
    </row>
    <row r="28" spans="2:17" x14ac:dyDescent="0.35">
      <c r="B28" s="411">
        <v>5</v>
      </c>
      <c r="C28" s="601">
        <v>2019</v>
      </c>
      <c r="D28" s="602"/>
      <c r="E28" s="603"/>
      <c r="F28" s="603"/>
      <c r="G28" s="603">
        <v>1</v>
      </c>
      <c r="H28" s="603">
        <v>1</v>
      </c>
      <c r="I28" s="604"/>
      <c r="J28" s="598">
        <v>253.1</v>
      </c>
      <c r="K28" s="599">
        <v>427.22</v>
      </c>
      <c r="L28" s="600">
        <v>1011.11</v>
      </c>
      <c r="M28" s="223"/>
      <c r="O28" s="87"/>
      <c r="P28" s="88"/>
    </row>
    <row r="29" spans="2:17" ht="15" thickBot="1" x14ac:dyDescent="0.4">
      <c r="B29" s="112"/>
      <c r="C29" s="117"/>
      <c r="D29" s="164"/>
      <c r="E29" s="175"/>
      <c r="F29" s="175"/>
      <c r="G29" s="175"/>
      <c r="H29" s="175"/>
      <c r="I29" s="176"/>
      <c r="J29" s="114"/>
      <c r="K29" s="115"/>
      <c r="L29" s="116"/>
      <c r="M29" s="223"/>
      <c r="O29" s="93"/>
      <c r="P29" s="88"/>
    </row>
    <row r="30" spans="2:17" x14ac:dyDescent="0.35">
      <c r="B30" s="112"/>
      <c r="C30" s="117"/>
      <c r="D30" s="164"/>
      <c r="E30" s="175"/>
      <c r="F30" s="175"/>
      <c r="G30" s="175"/>
      <c r="H30" s="175"/>
      <c r="I30" s="176"/>
      <c r="J30" s="114"/>
      <c r="K30" s="115"/>
      <c r="L30" s="116"/>
      <c r="M30" s="223"/>
      <c r="O30" s="759" t="s">
        <v>159</v>
      </c>
      <c r="P30" s="760"/>
      <c r="Q30" s="761"/>
    </row>
    <row r="31" spans="2:17" ht="15" thickBot="1" x14ac:dyDescent="0.4">
      <c r="B31" s="9"/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/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1">
        <f>(J25-J28)/(($C28-$C25))</f>
        <v>-2.1857142857142855</v>
      </c>
      <c r="P32" s="361">
        <f>(K25-K28)/(($C28-$C25))</f>
        <v>1.1271428571428552</v>
      </c>
      <c r="Q32" s="361">
        <f>(L25-L28)/(($C28-$C25))</f>
        <v>-2.5792857142857151</v>
      </c>
    </row>
    <row r="33" spans="2:17" x14ac:dyDescent="0.35">
      <c r="B33" s="9"/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62">
        <f>O32/J25</f>
        <v>-9.8234349919743176E-3</v>
      </c>
      <c r="P33" s="362">
        <f>P32/K25</f>
        <v>2.5443405353111855E-3</v>
      </c>
      <c r="Q33" s="362">
        <f>Q32/L25</f>
        <v>-2.6454212454212461E-3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  <c r="O34" s="88"/>
      <c r="P34" s="88"/>
    </row>
    <row r="35" spans="2:17" x14ac:dyDescent="0.35">
      <c r="B35" s="9"/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  <c r="O35" s="88"/>
      <c r="P35" s="88"/>
    </row>
    <row r="36" spans="2:17" x14ac:dyDescent="0.35">
      <c r="B36" s="9"/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  <c r="O36" s="88"/>
      <c r="P36" s="88"/>
    </row>
    <row r="37" spans="2:17" x14ac:dyDescent="0.35">
      <c r="B37" s="11"/>
      <c r="C37" s="22"/>
      <c r="D37" s="165"/>
      <c r="E37" s="122"/>
      <c r="F37" s="122"/>
      <c r="G37" s="122"/>
      <c r="H37" s="122"/>
      <c r="I37" s="166"/>
      <c r="J37" s="11"/>
      <c r="K37" s="12"/>
      <c r="L37" s="13"/>
      <c r="M37" s="82"/>
      <c r="O37" s="88"/>
      <c r="P37" s="88"/>
    </row>
    <row r="38" spans="2:17" x14ac:dyDescent="0.35">
      <c r="D38" s="170"/>
      <c r="E38" s="170"/>
      <c r="F38" s="170"/>
      <c r="G38" s="170"/>
      <c r="H38" s="170"/>
      <c r="I38" s="170"/>
    </row>
    <row r="39" spans="2:17" ht="15.5" x14ac:dyDescent="0.35">
      <c r="B39" s="26" t="s">
        <v>18</v>
      </c>
    </row>
    <row r="40" spans="2:17" x14ac:dyDescent="0.35">
      <c r="C40" s="99" t="s">
        <v>16</v>
      </c>
      <c r="D40" s="100" t="s">
        <v>17</v>
      </c>
      <c r="F40" s="193"/>
      <c r="G40" s="35" t="s">
        <v>128</v>
      </c>
    </row>
    <row r="41" spans="2:17" x14ac:dyDescent="0.35">
      <c r="B41" s="27" t="s">
        <v>13</v>
      </c>
      <c r="C41" s="101">
        <f>J28-J25</f>
        <v>30.599999999999994</v>
      </c>
      <c r="D41" s="102">
        <f>(J25-J28)/J25</f>
        <v>-0.13752808988764043</v>
      </c>
    </row>
    <row r="42" spans="2:17" x14ac:dyDescent="0.35">
      <c r="B42" s="28" t="s">
        <v>14</v>
      </c>
      <c r="C42" s="103">
        <f>K28-K25</f>
        <v>-15.779999999999973</v>
      </c>
      <c r="D42" s="104">
        <f>(K25-K28)/K25</f>
        <v>3.5620767494356595E-2</v>
      </c>
    </row>
    <row r="43" spans="2:17" x14ac:dyDescent="0.35">
      <c r="B43" s="29" t="s">
        <v>15</v>
      </c>
      <c r="C43" s="105">
        <f>L28-L25</f>
        <v>36.110000000000014</v>
      </c>
      <c r="D43" s="106">
        <f>(L25-L28)/L25</f>
        <v>-3.7035897435897448E-2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8" tint="-0.249977111117893"/>
  </sheetPr>
  <dimension ref="A1:GA64"/>
  <sheetViews>
    <sheetView workbookViewId="0">
      <pane xSplit="8" ySplit="3" topLeftCell="AA7" activePane="bottomRight" state="frozen"/>
      <selection pane="topRight" activeCell="I1" sqref="I1"/>
      <selection pane="bottomLeft" activeCell="A4" sqref="A4"/>
      <selection pane="bottomRight" activeCell="AC28" sqref="AC28"/>
    </sheetView>
  </sheetViews>
  <sheetFormatPr baseColWidth="10" defaultColWidth="11.453125" defaultRowHeight="14.5" x14ac:dyDescent="0.35"/>
  <cols>
    <col min="1" max="2" width="11.453125" style="249"/>
    <col min="3" max="3" width="15" style="247" customWidth="1"/>
    <col min="4" max="4" width="16.453125" style="249" customWidth="1"/>
    <col min="5" max="5" width="21.453125" style="249" customWidth="1"/>
    <col min="6" max="6" width="18.54296875" style="249" customWidth="1"/>
    <col min="7" max="8" width="0" style="249" hidden="1" customWidth="1"/>
    <col min="9" max="9" width="15.26953125" style="249" customWidth="1"/>
    <col min="10" max="10" width="14.7265625" style="249" customWidth="1"/>
    <col min="11" max="11" width="11.453125" style="249" customWidth="1"/>
    <col min="12" max="12" width="18.26953125" style="249" customWidth="1"/>
    <col min="13" max="13" width="20" style="249" customWidth="1"/>
    <col min="14" max="14" width="11.453125" style="249"/>
    <col min="15" max="15" width="16.26953125" style="249" customWidth="1"/>
    <col min="16" max="16" width="21.26953125" style="249" customWidth="1"/>
    <col min="17" max="25" width="11.453125" style="249"/>
    <col min="26" max="26" width="4.453125" style="249" customWidth="1"/>
    <col min="27" max="32" width="11.453125" style="249"/>
    <col min="33" max="33" width="4.7265625" style="249" customWidth="1"/>
    <col min="34" max="34" width="4.453125" style="249" customWidth="1"/>
    <col min="35" max="40" width="11.453125" style="249"/>
    <col min="41" max="41" width="4.7265625" style="249" customWidth="1"/>
    <col min="42" max="42" width="11.453125" style="249"/>
    <col min="43" max="43" width="11.453125" style="337"/>
    <col min="44" max="49" width="11.453125" style="249"/>
    <col min="50" max="50" width="4.453125" style="249" customWidth="1"/>
    <col min="51" max="56" width="11.453125" style="249"/>
    <col min="57" max="57" width="4.7265625" style="249" customWidth="1"/>
    <col min="58" max="58" width="4.453125" style="249" customWidth="1"/>
    <col min="59" max="64" width="11.453125" style="249"/>
    <col min="65" max="65" width="4.7265625" style="249" customWidth="1"/>
    <col min="66" max="71" width="11.453125" style="249"/>
    <col min="72" max="72" width="4.7265625" style="249" customWidth="1"/>
    <col min="73" max="78" width="11.453125" style="249"/>
    <col min="79" max="79" width="4.7265625" style="249" customWidth="1"/>
    <col min="80" max="85" width="11.453125" style="249"/>
    <col min="86" max="86" width="4.7265625" style="249" customWidth="1"/>
    <col min="87" max="87" width="4.453125" style="249" customWidth="1"/>
    <col min="88" max="93" width="11.453125" style="249"/>
    <col min="94" max="94" width="4.7265625" style="249" customWidth="1"/>
    <col min="95" max="95" width="4.453125" style="249" customWidth="1"/>
    <col min="96" max="101" width="11.453125" style="249"/>
    <col min="102" max="102" width="4.7265625" style="249" customWidth="1"/>
    <col min="103" max="108" width="11.453125" style="249"/>
    <col min="109" max="109" width="4.7265625" style="249" customWidth="1"/>
    <col min="110" max="115" width="11.453125" style="249"/>
    <col min="116" max="116" width="4.7265625" style="249" customWidth="1"/>
    <col min="117" max="122" width="11.453125" style="249"/>
    <col min="123" max="123" width="4.7265625" style="249" customWidth="1"/>
    <col min="124" max="166" width="11.453125" style="249"/>
    <col min="167" max="167" width="16.7265625" style="249" customWidth="1"/>
    <col min="168" max="16384" width="11.453125" style="249"/>
  </cols>
  <sheetData>
    <row r="1" spans="1:183" ht="15" thickBot="1" x14ac:dyDescent="0.4">
      <c r="AY1" s="733" t="s">
        <v>166</v>
      </c>
      <c r="AZ1" s="733"/>
      <c r="BA1" s="733"/>
      <c r="BB1" s="733"/>
      <c r="BC1" s="733"/>
      <c r="BD1" s="733"/>
      <c r="BG1" s="733" t="s">
        <v>69</v>
      </c>
      <c r="BH1" s="733"/>
      <c r="BI1" s="733"/>
      <c r="BJ1" s="733"/>
      <c r="BK1" s="733"/>
      <c r="BL1" s="733"/>
      <c r="BN1" s="733" t="s">
        <v>70</v>
      </c>
      <c r="BO1" s="733"/>
      <c r="BP1" s="733"/>
      <c r="BQ1" s="733"/>
      <c r="BR1" s="733"/>
      <c r="BS1" s="733"/>
      <c r="BU1" s="733" t="s">
        <v>107</v>
      </c>
      <c r="BV1" s="733"/>
      <c r="BW1" s="733"/>
      <c r="BX1" s="733"/>
      <c r="BY1" s="733"/>
      <c r="BZ1" s="733"/>
      <c r="CB1" s="733" t="s">
        <v>106</v>
      </c>
      <c r="CC1" s="733"/>
      <c r="CD1" s="733"/>
      <c r="CE1" s="733"/>
      <c r="CF1" s="733"/>
      <c r="CG1" s="733"/>
      <c r="CJ1" s="696" t="s">
        <v>166</v>
      </c>
      <c r="CK1" s="696"/>
      <c r="CL1" s="696"/>
      <c r="CM1" s="696"/>
      <c r="CN1" s="696"/>
      <c r="CO1" s="696"/>
      <c r="CR1" s="696" t="s">
        <v>69</v>
      </c>
      <c r="CS1" s="696"/>
      <c r="CT1" s="696"/>
      <c r="CU1" s="696"/>
      <c r="CV1" s="696"/>
      <c r="CW1" s="696"/>
      <c r="CY1" s="696" t="s">
        <v>70</v>
      </c>
      <c r="CZ1" s="696"/>
      <c r="DA1" s="696"/>
      <c r="DB1" s="696"/>
      <c r="DC1" s="696"/>
      <c r="DD1" s="696"/>
      <c r="DF1" s="696" t="s">
        <v>107</v>
      </c>
      <c r="DG1" s="696"/>
      <c r="DH1" s="696"/>
      <c r="DI1" s="696"/>
      <c r="DJ1" s="696"/>
      <c r="DK1" s="696"/>
      <c r="DM1" s="696" t="s">
        <v>106</v>
      </c>
      <c r="DN1" s="696"/>
      <c r="DO1" s="696"/>
      <c r="DP1" s="696"/>
      <c r="DQ1" s="696"/>
      <c r="DR1" s="696"/>
    </row>
    <row r="2" spans="1:183" ht="60" customHeight="1" x14ac:dyDescent="0.35">
      <c r="A2" s="728" t="s">
        <v>141</v>
      </c>
      <c r="B2" s="728" t="s">
        <v>135</v>
      </c>
      <c r="C2" s="728" t="s">
        <v>99</v>
      </c>
      <c r="D2" s="721" t="s">
        <v>6</v>
      </c>
      <c r="E2" s="723" t="s">
        <v>152</v>
      </c>
      <c r="F2" s="725" t="s">
        <v>202</v>
      </c>
      <c r="G2" s="702" t="s">
        <v>98</v>
      </c>
      <c r="H2" s="703"/>
      <c r="I2" s="703"/>
      <c r="J2" s="703"/>
      <c r="K2" s="703"/>
      <c r="L2" s="703"/>
      <c r="M2" s="703"/>
      <c r="N2" s="704"/>
      <c r="O2" s="133" t="s">
        <v>87</v>
      </c>
      <c r="P2" s="250" t="s">
        <v>93</v>
      </c>
      <c r="Q2" s="700" t="s">
        <v>90</v>
      </c>
      <c r="R2" s="701"/>
      <c r="S2" s="700" t="s">
        <v>91</v>
      </c>
      <c r="T2" s="701"/>
      <c r="U2" s="700" t="s">
        <v>92</v>
      </c>
      <c r="V2" s="701"/>
      <c r="W2" s="700" t="s">
        <v>101</v>
      </c>
      <c r="X2" s="705"/>
      <c r="Y2" s="701"/>
      <c r="Z2" s="365"/>
      <c r="AA2" s="700" t="s">
        <v>164</v>
      </c>
      <c r="AB2" s="705"/>
      <c r="AC2" s="701"/>
      <c r="AD2" s="700" t="s">
        <v>165</v>
      </c>
      <c r="AE2" s="705"/>
      <c r="AF2" s="701"/>
      <c r="AG2" s="365"/>
      <c r="AH2" s="365"/>
      <c r="AI2" s="700" t="s">
        <v>164</v>
      </c>
      <c r="AJ2" s="705"/>
      <c r="AK2" s="701"/>
      <c r="AL2" s="700" t="s">
        <v>165</v>
      </c>
      <c r="AM2" s="705"/>
      <c r="AN2" s="701"/>
      <c r="AO2" s="365"/>
      <c r="AR2" s="697" t="s">
        <v>72</v>
      </c>
      <c r="AS2" s="698"/>
      <c r="AT2" s="698"/>
      <c r="AU2" s="698"/>
      <c r="AV2" s="699"/>
      <c r="AX2" s="365"/>
      <c r="AY2" s="730" t="s">
        <v>164</v>
      </c>
      <c r="AZ2" s="731"/>
      <c r="BA2" s="732"/>
      <c r="BB2" s="730" t="s">
        <v>165</v>
      </c>
      <c r="BC2" s="731"/>
      <c r="BD2" s="732"/>
      <c r="BE2" s="365"/>
      <c r="BF2" s="365"/>
      <c r="BG2" s="730" t="s">
        <v>164</v>
      </c>
      <c r="BH2" s="731"/>
      <c r="BI2" s="732"/>
      <c r="BJ2" s="730" t="s">
        <v>165</v>
      </c>
      <c r="BK2" s="731"/>
      <c r="BL2" s="732"/>
      <c r="BM2" s="365"/>
      <c r="BN2" s="730" t="s">
        <v>164</v>
      </c>
      <c r="BO2" s="731"/>
      <c r="BP2" s="732"/>
      <c r="BQ2" s="730" t="s">
        <v>165</v>
      </c>
      <c r="BR2" s="731"/>
      <c r="BS2" s="732"/>
      <c r="BT2" s="365"/>
      <c r="BU2" s="730" t="s">
        <v>164</v>
      </c>
      <c r="BV2" s="731"/>
      <c r="BW2" s="732"/>
      <c r="BX2" s="730" t="s">
        <v>165</v>
      </c>
      <c r="BY2" s="731"/>
      <c r="BZ2" s="732"/>
      <c r="CA2" s="365"/>
      <c r="CB2" s="730" t="s">
        <v>164</v>
      </c>
      <c r="CC2" s="731"/>
      <c r="CD2" s="732"/>
      <c r="CE2" s="730" t="s">
        <v>165</v>
      </c>
      <c r="CF2" s="731"/>
      <c r="CG2" s="732"/>
      <c r="CH2" s="365"/>
      <c r="CI2" s="365"/>
      <c r="CJ2" s="693" t="s">
        <v>164</v>
      </c>
      <c r="CK2" s="694"/>
      <c r="CL2" s="695"/>
      <c r="CM2" s="693" t="s">
        <v>165</v>
      </c>
      <c r="CN2" s="694"/>
      <c r="CO2" s="695"/>
      <c r="CP2" s="365"/>
      <c r="CQ2" s="365"/>
      <c r="CR2" s="693" t="s">
        <v>164</v>
      </c>
      <c r="CS2" s="694"/>
      <c r="CT2" s="695"/>
      <c r="CU2" s="693" t="s">
        <v>165</v>
      </c>
      <c r="CV2" s="694"/>
      <c r="CW2" s="695"/>
      <c r="CX2" s="365"/>
      <c r="CY2" s="693" t="s">
        <v>164</v>
      </c>
      <c r="CZ2" s="694"/>
      <c r="DA2" s="695"/>
      <c r="DB2" s="693" t="s">
        <v>165</v>
      </c>
      <c r="DC2" s="694"/>
      <c r="DD2" s="695"/>
      <c r="DE2" s="365"/>
      <c r="DF2" s="693" t="s">
        <v>164</v>
      </c>
      <c r="DG2" s="694"/>
      <c r="DH2" s="695"/>
      <c r="DI2" s="693" t="s">
        <v>165</v>
      </c>
      <c r="DJ2" s="694"/>
      <c r="DK2" s="695"/>
      <c r="DL2" s="365"/>
      <c r="DM2" s="693" t="s">
        <v>164</v>
      </c>
      <c r="DN2" s="694"/>
      <c r="DO2" s="695"/>
      <c r="DP2" s="693" t="s">
        <v>165</v>
      </c>
      <c r="DQ2" s="694"/>
      <c r="DR2" s="695"/>
      <c r="DS2" s="365"/>
      <c r="DU2" s="718" t="s">
        <v>98</v>
      </c>
      <c r="DV2" s="718"/>
      <c r="DW2" s="718"/>
      <c r="DX2" s="718"/>
      <c r="DY2" s="718"/>
      <c r="EA2" s="719" t="s">
        <v>68</v>
      </c>
      <c r="EB2" s="720"/>
      <c r="EC2" s="720"/>
      <c r="ED2" s="720"/>
      <c r="EE2" s="720"/>
      <c r="EF2" s="720"/>
      <c r="EH2" s="719" t="s">
        <v>69</v>
      </c>
      <c r="EI2" s="720"/>
      <c r="EJ2" s="720"/>
      <c r="EK2" s="720"/>
      <c r="EL2" s="720"/>
      <c r="EM2" s="720"/>
      <c r="EO2" s="719" t="s">
        <v>70</v>
      </c>
      <c r="EP2" s="720"/>
      <c r="EQ2" s="720"/>
      <c r="ER2" s="720"/>
      <c r="ES2" s="720"/>
      <c r="ET2" s="720"/>
      <c r="EV2" s="719" t="s">
        <v>104</v>
      </c>
      <c r="EW2" s="720"/>
      <c r="EX2" s="720"/>
      <c r="EY2" s="720"/>
      <c r="EZ2" s="720"/>
      <c r="FA2" s="720"/>
      <c r="FC2" s="719" t="s">
        <v>106</v>
      </c>
      <c r="FD2" s="720"/>
      <c r="FE2" s="720"/>
      <c r="FF2" s="720"/>
      <c r="FG2" s="720"/>
      <c r="FH2" s="720"/>
      <c r="FK2" s="707" t="s">
        <v>100</v>
      </c>
      <c r="FL2" s="707"/>
      <c r="FM2" s="707"/>
      <c r="FN2" s="707"/>
      <c r="FO2" s="708"/>
      <c r="FQ2" s="709" t="s">
        <v>102</v>
      </c>
      <c r="FR2" s="710"/>
      <c r="FS2" s="710"/>
      <c r="FT2" s="710"/>
      <c r="FU2" s="711"/>
      <c r="FW2" s="712" t="s">
        <v>103</v>
      </c>
      <c r="FX2" s="713"/>
      <c r="FY2" s="713"/>
      <c r="FZ2" s="713"/>
      <c r="GA2" s="714"/>
    </row>
    <row r="3" spans="1:183" ht="58.5" thickBot="1" x14ac:dyDescent="0.4">
      <c r="A3" s="729"/>
      <c r="B3" s="729"/>
      <c r="C3" s="729"/>
      <c r="D3" s="722"/>
      <c r="E3" s="724"/>
      <c r="F3" s="726"/>
      <c r="G3" s="251" t="s">
        <v>8</v>
      </c>
      <c r="H3" s="252" t="s">
        <v>2</v>
      </c>
      <c r="I3" s="252" t="s">
        <v>3</v>
      </c>
      <c r="J3" s="252" t="s">
        <v>4</v>
      </c>
      <c r="K3" s="252" t="s">
        <v>5</v>
      </c>
      <c r="L3" s="252" t="s">
        <v>9</v>
      </c>
      <c r="M3" s="252" t="s">
        <v>97</v>
      </c>
      <c r="N3" s="253" t="s">
        <v>143</v>
      </c>
      <c r="O3" s="134" t="s">
        <v>94</v>
      </c>
      <c r="P3" s="254" t="s">
        <v>95</v>
      </c>
      <c r="Q3" s="134" t="s">
        <v>88</v>
      </c>
      <c r="R3" s="255" t="s">
        <v>89</v>
      </c>
      <c r="S3" s="134" t="s">
        <v>88</v>
      </c>
      <c r="T3" s="254" t="s">
        <v>89</v>
      </c>
      <c r="U3" s="256" t="s">
        <v>88</v>
      </c>
      <c r="V3" s="254" t="s">
        <v>89</v>
      </c>
      <c r="W3" s="257" t="s">
        <v>100</v>
      </c>
      <c r="X3" s="258" t="s">
        <v>102</v>
      </c>
      <c r="Y3" s="259" t="s">
        <v>103</v>
      </c>
      <c r="Z3" s="366"/>
      <c r="AA3" s="257" t="s">
        <v>100</v>
      </c>
      <c r="AB3" s="258" t="s">
        <v>102</v>
      </c>
      <c r="AC3" s="259" t="s">
        <v>103</v>
      </c>
      <c r="AD3" s="257" t="s">
        <v>100</v>
      </c>
      <c r="AE3" s="258" t="s">
        <v>102</v>
      </c>
      <c r="AF3" s="259" t="s">
        <v>103</v>
      </c>
      <c r="AG3" s="366"/>
      <c r="AH3" s="366"/>
      <c r="AI3" s="257" t="s">
        <v>100</v>
      </c>
      <c r="AJ3" s="258" t="s">
        <v>102</v>
      </c>
      <c r="AK3" s="259" t="s">
        <v>103</v>
      </c>
      <c r="AL3" s="257" t="s">
        <v>100</v>
      </c>
      <c r="AM3" s="258" t="s">
        <v>102</v>
      </c>
      <c r="AN3" s="259" t="s">
        <v>103</v>
      </c>
      <c r="AO3" s="366"/>
      <c r="AP3" s="249" t="s">
        <v>162</v>
      </c>
      <c r="AR3" s="260" t="s">
        <v>68</v>
      </c>
      <c r="AS3" s="261" t="s">
        <v>69</v>
      </c>
      <c r="AT3" s="261" t="s">
        <v>70</v>
      </c>
      <c r="AU3" s="261" t="s">
        <v>104</v>
      </c>
      <c r="AV3" s="262" t="s">
        <v>105</v>
      </c>
      <c r="AX3" s="366"/>
      <c r="AY3" s="257" t="s">
        <v>100</v>
      </c>
      <c r="AZ3" s="258" t="s">
        <v>102</v>
      </c>
      <c r="BA3" s="259" t="s">
        <v>103</v>
      </c>
      <c r="BB3" s="257" t="s">
        <v>100</v>
      </c>
      <c r="BC3" s="258" t="s">
        <v>102</v>
      </c>
      <c r="BD3" s="259" t="s">
        <v>103</v>
      </c>
      <c r="BE3" s="366"/>
      <c r="BF3" s="366"/>
      <c r="BG3" s="257" t="s">
        <v>100</v>
      </c>
      <c r="BH3" s="258" t="s">
        <v>102</v>
      </c>
      <c r="BI3" s="259" t="s">
        <v>103</v>
      </c>
      <c r="BJ3" s="257" t="s">
        <v>100</v>
      </c>
      <c r="BK3" s="258" t="s">
        <v>102</v>
      </c>
      <c r="BL3" s="259" t="s">
        <v>103</v>
      </c>
      <c r="BM3" s="366"/>
      <c r="BN3" s="257" t="s">
        <v>100</v>
      </c>
      <c r="BO3" s="258" t="s">
        <v>102</v>
      </c>
      <c r="BP3" s="259" t="s">
        <v>103</v>
      </c>
      <c r="BQ3" s="257" t="s">
        <v>100</v>
      </c>
      <c r="BR3" s="258" t="s">
        <v>102</v>
      </c>
      <c r="BS3" s="259" t="s">
        <v>103</v>
      </c>
      <c r="BT3" s="366"/>
      <c r="BU3" s="257" t="s">
        <v>100</v>
      </c>
      <c r="BV3" s="258" t="s">
        <v>102</v>
      </c>
      <c r="BW3" s="259" t="s">
        <v>103</v>
      </c>
      <c r="BX3" s="257" t="s">
        <v>100</v>
      </c>
      <c r="BY3" s="258" t="s">
        <v>102</v>
      </c>
      <c r="BZ3" s="259" t="s">
        <v>103</v>
      </c>
      <c r="CA3" s="366"/>
      <c r="CB3" s="257" t="s">
        <v>100</v>
      </c>
      <c r="CC3" s="258" t="s">
        <v>102</v>
      </c>
      <c r="CD3" s="259" t="s">
        <v>103</v>
      </c>
      <c r="CE3" s="257" t="s">
        <v>100</v>
      </c>
      <c r="CF3" s="258" t="s">
        <v>102</v>
      </c>
      <c r="CG3" s="259" t="s">
        <v>103</v>
      </c>
      <c r="CH3" s="366"/>
      <c r="CI3" s="366"/>
      <c r="CJ3" s="257" t="s">
        <v>100</v>
      </c>
      <c r="CK3" s="258" t="s">
        <v>102</v>
      </c>
      <c r="CL3" s="259" t="s">
        <v>103</v>
      </c>
      <c r="CM3" s="257" t="s">
        <v>100</v>
      </c>
      <c r="CN3" s="258" t="s">
        <v>102</v>
      </c>
      <c r="CO3" s="259" t="s">
        <v>103</v>
      </c>
      <c r="CP3" s="366"/>
      <c r="CQ3" s="366"/>
      <c r="CR3" s="257" t="s">
        <v>100</v>
      </c>
      <c r="CS3" s="258" t="s">
        <v>102</v>
      </c>
      <c r="CT3" s="259" t="s">
        <v>103</v>
      </c>
      <c r="CU3" s="257" t="s">
        <v>100</v>
      </c>
      <c r="CV3" s="258" t="s">
        <v>102</v>
      </c>
      <c r="CW3" s="259" t="s">
        <v>103</v>
      </c>
      <c r="CX3" s="366"/>
      <c r="CY3" s="257" t="s">
        <v>100</v>
      </c>
      <c r="CZ3" s="258" t="s">
        <v>102</v>
      </c>
      <c r="DA3" s="259" t="s">
        <v>103</v>
      </c>
      <c r="DB3" s="257" t="s">
        <v>100</v>
      </c>
      <c r="DC3" s="258" t="s">
        <v>102</v>
      </c>
      <c r="DD3" s="259" t="s">
        <v>103</v>
      </c>
      <c r="DE3" s="366"/>
      <c r="DF3" s="257" t="s">
        <v>100</v>
      </c>
      <c r="DG3" s="258" t="s">
        <v>102</v>
      </c>
      <c r="DH3" s="259" t="s">
        <v>103</v>
      </c>
      <c r="DI3" s="257" t="s">
        <v>100</v>
      </c>
      <c r="DJ3" s="258" t="s">
        <v>102</v>
      </c>
      <c r="DK3" s="259" t="s">
        <v>103</v>
      </c>
      <c r="DL3" s="366"/>
      <c r="DM3" s="257" t="s">
        <v>100</v>
      </c>
      <c r="DN3" s="258" t="s">
        <v>102</v>
      </c>
      <c r="DO3" s="259" t="s">
        <v>103</v>
      </c>
      <c r="DP3" s="257" t="s">
        <v>100</v>
      </c>
      <c r="DQ3" s="258" t="s">
        <v>102</v>
      </c>
      <c r="DR3" s="259" t="s">
        <v>103</v>
      </c>
      <c r="DS3" s="366"/>
      <c r="DU3" s="260" t="s">
        <v>68</v>
      </c>
      <c r="DV3" s="261" t="s">
        <v>69</v>
      </c>
      <c r="DW3" s="261" t="s">
        <v>70</v>
      </c>
      <c r="DX3" s="261" t="s">
        <v>104</v>
      </c>
      <c r="DY3" s="262" t="s">
        <v>105</v>
      </c>
      <c r="EA3" s="263" t="s">
        <v>8</v>
      </c>
      <c r="EB3" s="264" t="s">
        <v>2</v>
      </c>
      <c r="EC3" s="264" t="s">
        <v>3</v>
      </c>
      <c r="ED3" s="264" t="s">
        <v>4</v>
      </c>
      <c r="EE3" s="264" t="s">
        <v>5</v>
      </c>
      <c r="EF3" s="264" t="s">
        <v>9</v>
      </c>
      <c r="EH3" s="263" t="s">
        <v>8</v>
      </c>
      <c r="EI3" s="264" t="s">
        <v>2</v>
      </c>
      <c r="EJ3" s="264" t="s">
        <v>3</v>
      </c>
      <c r="EK3" s="264" t="s">
        <v>4</v>
      </c>
      <c r="EL3" s="264" t="s">
        <v>5</v>
      </c>
      <c r="EM3" s="264" t="s">
        <v>9</v>
      </c>
      <c r="EO3" s="263" t="s">
        <v>8</v>
      </c>
      <c r="EP3" s="264" t="s">
        <v>2</v>
      </c>
      <c r="EQ3" s="264" t="s">
        <v>3</v>
      </c>
      <c r="ER3" s="264" t="s">
        <v>4</v>
      </c>
      <c r="ES3" s="264" t="s">
        <v>5</v>
      </c>
      <c r="ET3" s="264" t="s">
        <v>9</v>
      </c>
      <c r="EV3" s="263" t="s">
        <v>8</v>
      </c>
      <c r="EW3" s="264" t="s">
        <v>2</v>
      </c>
      <c r="EX3" s="264" t="s">
        <v>3</v>
      </c>
      <c r="EY3" s="264" t="s">
        <v>4</v>
      </c>
      <c r="EZ3" s="264" t="s">
        <v>5</v>
      </c>
      <c r="FA3" s="264" t="s">
        <v>9</v>
      </c>
      <c r="FC3" s="263" t="s">
        <v>8</v>
      </c>
      <c r="FD3" s="264" t="s">
        <v>2</v>
      </c>
      <c r="FE3" s="264" t="s">
        <v>3</v>
      </c>
      <c r="FF3" s="264" t="s">
        <v>4</v>
      </c>
      <c r="FG3" s="264" t="s">
        <v>5</v>
      </c>
      <c r="FH3" s="264" t="s">
        <v>9</v>
      </c>
      <c r="FK3" s="236" t="s">
        <v>109</v>
      </c>
      <c r="FL3" s="232" t="s">
        <v>110</v>
      </c>
      <c r="FM3" s="232" t="s">
        <v>111</v>
      </c>
      <c r="FN3" s="232" t="s">
        <v>112</v>
      </c>
      <c r="FO3" s="233" t="s">
        <v>113</v>
      </c>
      <c r="FQ3" s="237" t="s">
        <v>109</v>
      </c>
      <c r="FR3" s="238" t="s">
        <v>155</v>
      </c>
      <c r="FS3" s="238" t="s">
        <v>156</v>
      </c>
      <c r="FT3" s="238" t="s">
        <v>157</v>
      </c>
      <c r="FU3" s="239" t="s">
        <v>158</v>
      </c>
      <c r="FW3" s="265" t="s">
        <v>109</v>
      </c>
      <c r="FX3" s="266" t="s">
        <v>155</v>
      </c>
      <c r="FY3" s="266" t="s">
        <v>156</v>
      </c>
      <c r="FZ3" s="266" t="s">
        <v>157</v>
      </c>
      <c r="GA3" s="267" t="s">
        <v>158</v>
      </c>
    </row>
    <row r="4" spans="1:183" x14ac:dyDescent="0.35">
      <c r="A4" s="332">
        <v>1988</v>
      </c>
      <c r="B4" s="321" t="s">
        <v>136</v>
      </c>
      <c r="C4" s="321">
        <v>1</v>
      </c>
      <c r="D4" s="727" t="s">
        <v>19</v>
      </c>
      <c r="E4" s="323" t="s">
        <v>22</v>
      </c>
      <c r="F4" s="335">
        <f>2020-A4</f>
        <v>32</v>
      </c>
      <c r="G4" s="268">
        <f>COUNT(Playas!D24:D38)</f>
        <v>0</v>
      </c>
      <c r="H4" s="270">
        <f>COUNT(Playas!E24:E38)</f>
        <v>0</v>
      </c>
      <c r="I4" s="270">
        <f>COUNT(Playas!F24:F38)</f>
        <v>4</v>
      </c>
      <c r="J4" s="270">
        <f>COUNT(Playas!G24:G38)</f>
        <v>1</v>
      </c>
      <c r="K4" s="270">
        <f>COUNT(Playas!H24:H38)</f>
        <v>0</v>
      </c>
      <c r="L4" s="270"/>
      <c r="M4" s="270"/>
      <c r="N4" s="271">
        <f>COUNT(Playas!C24:C38)</f>
        <v>5</v>
      </c>
      <c r="O4" s="272">
        <v>204</v>
      </c>
      <c r="P4" s="328">
        <v>1394.51</v>
      </c>
      <c r="Q4" s="313">
        <f>Playas!J28</f>
        <v>9.7899999999999991</v>
      </c>
      <c r="R4" s="314">
        <f>Playas!J33</f>
        <v>10.6</v>
      </c>
      <c r="S4" s="313">
        <f>Playas!K28</f>
        <v>47.459905094608118</v>
      </c>
      <c r="T4" s="315">
        <f>Playas!K33</f>
        <v>49.16</v>
      </c>
      <c r="U4" s="316">
        <f>Playas!L28</f>
        <v>76.353773676363787</v>
      </c>
      <c r="V4" s="315">
        <f>Playas!L33</f>
        <v>79.69</v>
      </c>
      <c r="W4" s="273">
        <f>(Q4-R4)/Q4</f>
        <v>-8.2737487231869314E-2</v>
      </c>
      <c r="X4" s="274">
        <f>(S4-T4)/S4</f>
        <v>-3.5821708914142464E-2</v>
      </c>
      <c r="Y4" s="275">
        <f>(U4-V4)/U4</f>
        <v>-4.369432135440058E-2</v>
      </c>
      <c r="Z4" s="367"/>
      <c r="AA4" s="372">
        <f>Playas!O32</f>
        <v>-3.9117491399841255E-2</v>
      </c>
      <c r="AB4" s="373">
        <f>Playas!P32</f>
        <v>-8.2103022025408284E-2</v>
      </c>
      <c r="AC4" s="388">
        <f>Playas!Q32</f>
        <v>-0.16111704262069557</v>
      </c>
      <c r="AD4" s="385">
        <f>Playas!O33</f>
        <v>-3.9956579570828658E-3</v>
      </c>
      <c r="AE4" s="374">
        <f>Playas!P33</f>
        <v>-1.729944926390844E-3</v>
      </c>
      <c r="AF4" s="375">
        <f>Playas!Q33</f>
        <v>-2.1101385676576094E-3</v>
      </c>
      <c r="AG4" s="367"/>
      <c r="AH4" s="367"/>
      <c r="AI4" s="372" t="str">
        <f>IF(AA4&gt;0,AA4,"")</f>
        <v/>
      </c>
      <c r="AJ4" s="373" t="str">
        <f t="shared" ref="AJ4:AN4" si="0">IF(AB4&gt;0,AB4,"")</f>
        <v/>
      </c>
      <c r="AK4" s="388" t="str">
        <f t="shared" si="0"/>
        <v/>
      </c>
      <c r="AL4" s="385" t="str">
        <f t="shared" si="0"/>
        <v/>
      </c>
      <c r="AM4" s="374" t="str">
        <f t="shared" si="0"/>
        <v/>
      </c>
      <c r="AN4" s="375" t="str">
        <f t="shared" si="0"/>
        <v/>
      </c>
      <c r="AO4" s="367"/>
      <c r="AP4" s="350">
        <f>IF(X4&gt;0,1,0)</f>
        <v>0</v>
      </c>
      <c r="AQ4" s="368"/>
      <c r="AR4" s="277">
        <f t="shared" ref="AR4:AR28" si="1">IF(F4&lt;=5,1,0)</f>
        <v>0</v>
      </c>
      <c r="AS4" s="278">
        <f>IF(F4&gt;5,(IF(F4&lt;=10,1,0)),0)</f>
        <v>0</v>
      </c>
      <c r="AT4" s="278">
        <f t="shared" ref="AT4:AT28" si="2">IF(F4&gt;10,(IF(F4&lt;=20,1,0)),0)</f>
        <v>0</v>
      </c>
      <c r="AU4" s="278">
        <f t="shared" ref="AU4:AU28" si="3">IF(F4&gt;20,(IF(F4&lt;=30,1,0)),0)</f>
        <v>0</v>
      </c>
      <c r="AV4" s="279">
        <f>IF(F4&gt;30,1,0)</f>
        <v>1</v>
      </c>
      <c r="AX4" s="367"/>
      <c r="AY4" s="372" t="str">
        <f>IF($AR4=1,AA4,"")</f>
        <v/>
      </c>
      <c r="AZ4" s="373" t="str">
        <f t="shared" ref="AZ4:BD4" si="4">IF($AR4=1,AB4,"")</f>
        <v/>
      </c>
      <c r="BA4" s="388" t="str">
        <f t="shared" si="4"/>
        <v/>
      </c>
      <c r="BB4" s="385" t="str">
        <f t="shared" si="4"/>
        <v/>
      </c>
      <c r="BC4" s="374" t="str">
        <f t="shared" si="4"/>
        <v/>
      </c>
      <c r="BD4" s="375" t="str">
        <f t="shared" si="4"/>
        <v/>
      </c>
      <c r="BE4" s="367"/>
      <c r="BF4" s="367"/>
      <c r="BG4" s="372" t="str">
        <f>IF($AS4=1,AI4,"")</f>
        <v/>
      </c>
      <c r="BH4" s="373" t="str">
        <f t="shared" ref="BH4:BL4" si="5">IF($AS4=1,AJ4,"")</f>
        <v/>
      </c>
      <c r="BI4" s="388" t="str">
        <f t="shared" si="5"/>
        <v/>
      </c>
      <c r="BJ4" s="385" t="str">
        <f t="shared" si="5"/>
        <v/>
      </c>
      <c r="BK4" s="374" t="str">
        <f t="shared" si="5"/>
        <v/>
      </c>
      <c r="BL4" s="375" t="str">
        <f t="shared" si="5"/>
        <v/>
      </c>
      <c r="BM4" s="367"/>
      <c r="BN4" s="372" t="str">
        <f>IF($AT4=1,AA4,"")</f>
        <v/>
      </c>
      <c r="BO4" s="373" t="str">
        <f t="shared" ref="BO4:BS4" si="6">IF($AT4=1,AB4,"")</f>
        <v/>
      </c>
      <c r="BP4" s="388" t="str">
        <f t="shared" si="6"/>
        <v/>
      </c>
      <c r="BQ4" s="385" t="str">
        <f t="shared" si="6"/>
        <v/>
      </c>
      <c r="BR4" s="374" t="str">
        <f t="shared" si="6"/>
        <v/>
      </c>
      <c r="BS4" s="375" t="str">
        <f t="shared" si="6"/>
        <v/>
      </c>
      <c r="BT4" s="367"/>
      <c r="BU4" s="372" t="str">
        <f>IF($AU4=1,AA4,"")</f>
        <v/>
      </c>
      <c r="BV4" s="373" t="str">
        <f t="shared" ref="BV4:BZ4" si="7">IF($AU4=1,AB4,"")</f>
        <v/>
      </c>
      <c r="BW4" s="388" t="str">
        <f t="shared" si="7"/>
        <v/>
      </c>
      <c r="BX4" s="385" t="str">
        <f t="shared" si="7"/>
        <v/>
      </c>
      <c r="BY4" s="374" t="str">
        <f t="shared" si="7"/>
        <v/>
      </c>
      <c r="BZ4" s="375" t="str">
        <f t="shared" si="7"/>
        <v/>
      </c>
      <c r="CA4" s="367"/>
      <c r="CB4" s="372">
        <f>IF($AV4=1,AA4,"")</f>
        <v>-3.9117491399841255E-2</v>
      </c>
      <c r="CC4" s="373">
        <f t="shared" ref="CC4:CG4" si="8">IF($AV4=1,AB4,"")</f>
        <v>-8.2103022025408284E-2</v>
      </c>
      <c r="CD4" s="388">
        <f t="shared" si="8"/>
        <v>-0.16111704262069557</v>
      </c>
      <c r="CE4" s="385">
        <f t="shared" si="8"/>
        <v>-3.9956579570828658E-3</v>
      </c>
      <c r="CF4" s="374">
        <f>IF($AV4=1,AE4,"")</f>
        <v>-1.729944926390844E-3</v>
      </c>
      <c r="CG4" s="375">
        <f t="shared" si="8"/>
        <v>-2.1101385676576094E-3</v>
      </c>
      <c r="CH4" s="367"/>
      <c r="CI4" s="367"/>
      <c r="CJ4" s="372" t="s">
        <v>71</v>
      </c>
      <c r="CK4" s="373" t="s">
        <v>71</v>
      </c>
      <c r="CL4" s="388" t="s">
        <v>71</v>
      </c>
      <c r="CM4" s="385" t="s">
        <v>71</v>
      </c>
      <c r="CN4" s="374" t="s">
        <v>71</v>
      </c>
      <c r="CO4" s="375" t="s">
        <v>71</v>
      </c>
      <c r="CP4" s="367"/>
      <c r="CQ4" s="367"/>
      <c r="CR4" s="372" t="s">
        <v>71</v>
      </c>
      <c r="CS4" s="373" t="s">
        <v>71</v>
      </c>
      <c r="CT4" s="388" t="s">
        <v>71</v>
      </c>
      <c r="CU4" s="385" t="s">
        <v>71</v>
      </c>
      <c r="CV4" s="374" t="s">
        <v>71</v>
      </c>
      <c r="CW4" s="375" t="s">
        <v>71</v>
      </c>
      <c r="CX4" s="367"/>
      <c r="CY4" s="372" t="s">
        <v>71</v>
      </c>
      <c r="CZ4" s="373" t="s">
        <v>71</v>
      </c>
      <c r="DA4" s="388" t="s">
        <v>71</v>
      </c>
      <c r="DB4" s="385" t="s">
        <v>71</v>
      </c>
      <c r="DC4" s="374" t="s">
        <v>71</v>
      </c>
      <c r="DD4" s="375" t="s">
        <v>71</v>
      </c>
      <c r="DE4" s="367"/>
      <c r="DF4" s="372">
        <v>0.39754705337858681</v>
      </c>
      <c r="DG4" s="373"/>
      <c r="DH4" s="388"/>
      <c r="DI4" s="385">
        <v>2.1951797536089831E-2</v>
      </c>
      <c r="DJ4" s="374"/>
      <c r="DK4" s="375"/>
      <c r="DL4" s="367"/>
      <c r="DM4" s="372" t="s">
        <v>71</v>
      </c>
      <c r="DN4" s="373" t="s">
        <v>71</v>
      </c>
      <c r="DO4" s="388" t="s">
        <v>71</v>
      </c>
      <c r="DP4" s="385" t="s">
        <v>71</v>
      </c>
      <c r="DQ4" s="374" t="s">
        <v>71</v>
      </c>
      <c r="DR4" s="375" t="s">
        <v>71</v>
      </c>
      <c r="DS4" s="367"/>
      <c r="DU4" s="249">
        <f>IF(AR4=1,$N4,0)</f>
        <v>0</v>
      </c>
      <c r="DV4" s="249">
        <f>IF(AS4=1,$N4,0)</f>
        <v>0</v>
      </c>
      <c r="DW4" s="249">
        <f>IF(AT4=1,$N4,0)</f>
        <v>0</v>
      </c>
      <c r="DX4" s="249">
        <f>IF(AU4=1,$N4,0)</f>
        <v>0</v>
      </c>
      <c r="DY4" s="249">
        <f>IF(AV4=1,$N4,0)</f>
        <v>5</v>
      </c>
      <c r="EA4" s="249">
        <f t="shared" ref="EA4:EA28" si="9">IF($AR4=1,G4,0)</f>
        <v>0</v>
      </c>
      <c r="EB4" s="249">
        <f t="shared" ref="EB4:EB28" si="10">IF($AR4=1,H4,0)</f>
        <v>0</v>
      </c>
      <c r="EC4" s="249">
        <f t="shared" ref="EC4:EC28" si="11">IF($AR4=1,I4,0)</f>
        <v>0</v>
      </c>
      <c r="ED4" s="249">
        <f t="shared" ref="ED4:ED28" si="12">IF($AR4=1,J4,0)</f>
        <v>0</v>
      </c>
      <c r="EE4" s="249">
        <f t="shared" ref="EE4:EE28" si="13">IF($AR4=1,K4,0)</f>
        <v>0</v>
      </c>
      <c r="EF4" s="249">
        <f t="shared" ref="EF4:EF28" si="14">IF($AR4=1,L4,0)</f>
        <v>0</v>
      </c>
      <c r="EH4" s="249">
        <f t="shared" ref="EH4:EH28" si="15">IF($AS4=1,G4,0)</f>
        <v>0</v>
      </c>
      <c r="EI4" s="249">
        <f t="shared" ref="EI4:EI28" si="16">IF($AS4=1,H4,0)</f>
        <v>0</v>
      </c>
      <c r="EJ4" s="249">
        <f t="shared" ref="EJ4:EJ28" si="17">IF($AS4=1,I4,0)</f>
        <v>0</v>
      </c>
      <c r="EK4" s="249">
        <f t="shared" ref="EK4:EK28" si="18">IF($AS4=1,J4,0)</f>
        <v>0</v>
      </c>
      <c r="EL4" s="249">
        <f t="shared" ref="EL4:EL28" si="19">IF($AS4=1,K4,0)</f>
        <v>0</v>
      </c>
      <c r="EM4" s="249">
        <f t="shared" ref="EM4:EM28" si="20">IF($AS4=1,L4,0)</f>
        <v>0</v>
      </c>
      <c r="EO4" s="249">
        <f t="shared" ref="EO4:EO28" si="21">IF($AT4=1,G4,0)</f>
        <v>0</v>
      </c>
      <c r="EP4" s="249">
        <f t="shared" ref="EP4:EP28" si="22">IF($AT4=1,H4,0)</f>
        <v>0</v>
      </c>
      <c r="EQ4" s="249">
        <f t="shared" ref="EQ4:EQ28" si="23">IF($AT4=1,I4,0)</f>
        <v>0</v>
      </c>
      <c r="ER4" s="249">
        <f t="shared" ref="ER4:ER28" si="24">IF($AT4=1,J4,0)</f>
        <v>0</v>
      </c>
      <c r="ES4" s="249">
        <f t="shared" ref="ES4:ES28" si="25">IF($AT4=1,K4,0)</f>
        <v>0</v>
      </c>
      <c r="ET4" s="249">
        <f t="shared" ref="ET4:ET28" si="26">IF($AT4=1,L4,0)</f>
        <v>0</v>
      </c>
      <c r="EV4" s="249">
        <f t="shared" ref="EV4:EV28" si="27">IF($AU4=1,G4,0)</f>
        <v>0</v>
      </c>
      <c r="EW4" s="249">
        <f t="shared" ref="EW4:EW28" si="28">IF($AU4=1,H4,0)</f>
        <v>0</v>
      </c>
      <c r="EX4" s="249">
        <f t="shared" ref="EX4:EX28" si="29">IF($AU4=1,I4,0)</f>
        <v>0</v>
      </c>
      <c r="EY4" s="249">
        <f t="shared" ref="EY4:EY28" si="30">IF($AU4=1,J4,0)</f>
        <v>0</v>
      </c>
      <c r="EZ4" s="249">
        <f t="shared" ref="EZ4:EZ28" si="31">IF($AU4=1,K4,0)</f>
        <v>0</v>
      </c>
      <c r="FA4" s="249">
        <f t="shared" ref="FA4:FA28" si="32">IF($AU4=1,L4,0)</f>
        <v>0</v>
      </c>
      <c r="FC4" s="249">
        <f t="shared" ref="FC4:FC28" si="33">IF($AV4=1,G4,0)</f>
        <v>0</v>
      </c>
      <c r="FD4" s="249">
        <f t="shared" ref="FD4:FD28" si="34">IF($AV4=1,H4,0)</f>
        <v>0</v>
      </c>
      <c r="FE4" s="249">
        <f t="shared" ref="FE4:FE28" si="35">IF($AV4=1,I4,0)</f>
        <v>4</v>
      </c>
      <c r="FF4" s="249">
        <f t="shared" ref="FF4:FF28" si="36">IF($AV4=1,J4,0)</f>
        <v>1</v>
      </c>
      <c r="FG4" s="249">
        <f t="shared" ref="FG4:FG28" si="37">IF($AV4=1,K4,0)</f>
        <v>0</v>
      </c>
      <c r="FH4" s="249">
        <f t="shared" ref="FH4:FH28" si="38">IF($AV4=1,L4,0)</f>
        <v>0</v>
      </c>
      <c r="FK4" s="240" t="str">
        <f t="shared" ref="FK4:FK28" si="39">IF(W4&lt;0,$E4,0)</f>
        <v>Playas</v>
      </c>
      <c r="FL4" s="240">
        <f>IF($W4&gt;=0,IF($W4&lt;0.2,$E4,0),0)</f>
        <v>0</v>
      </c>
      <c r="FM4" s="240">
        <f>IF($W4&gt;0.2,IF($W4&lt;0.5,$E4,0),0)</f>
        <v>0</v>
      </c>
      <c r="FN4" s="240">
        <f>IF($W4&gt;0.5,IF($W4&lt;0.7,$E4,0),0)</f>
        <v>0</v>
      </c>
      <c r="FO4" s="241">
        <f t="shared" ref="FO4:FO28" si="40">IF(W4&gt;0.7,$E4,0)</f>
        <v>0</v>
      </c>
      <c r="FQ4" s="242" t="str">
        <f t="shared" ref="FQ4:FQ28" si="41">IF(X4&lt;0,$E4,0)</f>
        <v>Playas</v>
      </c>
      <c r="FR4" s="240">
        <f>IF($X4&gt;=0,IF($X4&lt;0.05,$E4,0),0)</f>
        <v>0</v>
      </c>
      <c r="FS4" s="240">
        <f>IF($X4&gt;0.05,IF($X4&lt;0.1,$E4,0),0)</f>
        <v>0</v>
      </c>
      <c r="FT4" s="240">
        <f>IF($X4&gt;0.1,IF($X4&lt;0.2,$E4,0),0)</f>
        <v>0</v>
      </c>
      <c r="FU4" s="241">
        <f t="shared" ref="FU4:FU28" si="42">IF(X4&gt;0.2,$E4,0)</f>
        <v>0</v>
      </c>
      <c r="FW4" s="277" t="str">
        <f t="shared" ref="FW4:FW28" si="43">IF(Y4&lt;0,$E4,0)</f>
        <v>Playas</v>
      </c>
      <c r="FX4" s="278">
        <f>IF($Y4&gt;=0,IF($Y4&lt;0.05,$E4,0),0)</f>
        <v>0</v>
      </c>
      <c r="FY4" s="278">
        <f>IF($Y4&gt;0.05,IF($Y4&lt;0.1,$E4,0),0)</f>
        <v>0</v>
      </c>
      <c r="FZ4" s="278">
        <f>IF($Y4&gt;0.1,IF($Y4&lt;0.2,$E4,0),0)</f>
        <v>0</v>
      </c>
      <c r="GA4" s="279">
        <f t="shared" ref="GA4:GA28" si="44">IF(Y4&gt;0.2,$E4,0)</f>
        <v>0</v>
      </c>
    </row>
    <row r="5" spans="1:183" x14ac:dyDescent="0.35">
      <c r="A5" s="333">
        <v>1979</v>
      </c>
      <c r="B5" s="158" t="s">
        <v>136</v>
      </c>
      <c r="C5" s="158">
        <v>2</v>
      </c>
      <c r="D5" s="716"/>
      <c r="E5" s="324" t="s">
        <v>74</v>
      </c>
      <c r="F5" s="269">
        <f>2020-A5</f>
        <v>41</v>
      </c>
      <c r="G5" s="280">
        <f>COUNT(Guatapé!D24:D38)</f>
        <v>0</v>
      </c>
      <c r="H5" s="281">
        <f>COUNT(Guatapé!E24:E38)</f>
        <v>0</v>
      </c>
      <c r="I5" s="281">
        <f>COUNT(Guatapé!F24:F38)</f>
        <v>3</v>
      </c>
      <c r="J5" s="281">
        <f>COUNT(Guatapé!G24:G38)</f>
        <v>1</v>
      </c>
      <c r="K5" s="281">
        <f>COUNT(Guatapé!H24:H38)</f>
        <v>1</v>
      </c>
      <c r="L5" s="281"/>
      <c r="M5" s="281"/>
      <c r="N5" s="282">
        <f>COUNT(Guatapé!C24:C38)</f>
        <v>4</v>
      </c>
      <c r="O5" s="280">
        <v>560</v>
      </c>
      <c r="P5" s="329">
        <v>3123.7</v>
      </c>
      <c r="Q5" s="295">
        <f>Guatapé!J25</f>
        <v>23.387885000000097</v>
      </c>
      <c r="R5" s="296">
        <f>Guatapé!J28</f>
        <v>25.697838000000001</v>
      </c>
      <c r="S5" s="295">
        <f>Guatapé!K25</f>
        <v>990.30803900000001</v>
      </c>
      <c r="T5" s="297">
        <f>Guatapé!K28</f>
        <v>1044.0208319999999</v>
      </c>
      <c r="U5" s="298">
        <f>Guatapé!L25</f>
        <v>1083.302623</v>
      </c>
      <c r="V5" s="297">
        <f>Guatapé!L28</f>
        <v>1147.549184</v>
      </c>
      <c r="W5" s="288">
        <f t="shared" ref="W5:W28" si="45">(Q5-R5)/Q5</f>
        <v>-9.8767075346911218E-2</v>
      </c>
      <c r="X5" s="289">
        <f t="shared" ref="X5:X28" si="46">(S5-T5)/S5</f>
        <v>-5.4238470137270005E-2</v>
      </c>
      <c r="Y5" s="290">
        <f t="shared" ref="Y5:Y28" si="47">(U5-V5)/U5</f>
        <v>-5.930619905828468E-2</v>
      </c>
      <c r="Z5" s="367"/>
      <c r="AA5" s="376">
        <f>Guatapé!O32</f>
        <v>-0.13468575798721485</v>
      </c>
      <c r="AB5" s="377">
        <f>Guatapé!P32</f>
        <v>-3.1318162052715608</v>
      </c>
      <c r="AC5" s="380">
        <f>Guatapé!Q32</f>
        <v>-3.7460055535143728</v>
      </c>
      <c r="AD5" s="386">
        <f>Guatapé!O33</f>
        <v>-5.7587831472240567E-3</v>
      </c>
      <c r="AE5" s="378">
        <f>Guatapé!P33</f>
        <v>-3.1624667092817176E-3</v>
      </c>
      <c r="AF5" s="379">
        <f>Guatapé!Q33</f>
        <v>-3.4579493061140431E-3</v>
      </c>
      <c r="AG5" s="367"/>
      <c r="AH5" s="367"/>
      <c r="AI5" s="376" t="str">
        <f t="shared" ref="AI5:AI28" si="48">IF(AA5&gt;0,AA5,"")</f>
        <v/>
      </c>
      <c r="AJ5" s="377" t="str">
        <f t="shared" ref="AJ5:AJ28" si="49">IF(AB5&gt;0,AB5,"")</f>
        <v/>
      </c>
      <c r="AK5" s="380" t="str">
        <f t="shared" ref="AK5:AK28" si="50">IF(AC5&gt;0,AC5,"")</f>
        <v/>
      </c>
      <c r="AL5" s="386" t="str">
        <f t="shared" ref="AL5:AL28" si="51">IF(AD5&gt;0,AD5,"")</f>
        <v/>
      </c>
      <c r="AM5" s="378" t="str">
        <f t="shared" ref="AM5:AM28" si="52">IF(AE5&gt;0,AE5,"")</f>
        <v/>
      </c>
      <c r="AN5" s="379" t="str">
        <f t="shared" ref="AN5:AN28" si="53">IF(AF5&gt;0,AF5,"")</f>
        <v/>
      </c>
      <c r="AO5" s="367"/>
      <c r="AP5" s="350">
        <f t="shared" ref="AP5:AP9" si="54">IF(X5&gt;0,1,0)</f>
        <v>0</v>
      </c>
      <c r="AQ5" s="368"/>
      <c r="AR5" s="277">
        <f t="shared" si="1"/>
        <v>0</v>
      </c>
      <c r="AS5" s="278">
        <f t="shared" ref="AS5:AS28" si="55">IF(F5&gt;5,(IF(F5&lt;=10,1,0)),0)</f>
        <v>0</v>
      </c>
      <c r="AT5" s="278">
        <f t="shared" si="2"/>
        <v>0</v>
      </c>
      <c r="AU5" s="278">
        <f t="shared" si="3"/>
        <v>0</v>
      </c>
      <c r="AV5" s="279">
        <f t="shared" ref="AV5:AV28" si="56">IF(F5&gt;30,1,0)</f>
        <v>1</v>
      </c>
      <c r="AX5" s="367"/>
      <c r="AY5" s="376" t="str">
        <f t="shared" ref="AY5:AY28" si="57">IF($AR5=1,AA5,"")</f>
        <v/>
      </c>
      <c r="AZ5" s="377" t="str">
        <f t="shared" ref="AZ5:AZ28" si="58">IF($AR5=1,AB5,"")</f>
        <v/>
      </c>
      <c r="BA5" s="380" t="str">
        <f t="shared" ref="BA5:BA28" si="59">IF($AR5=1,AC5,"")</f>
        <v/>
      </c>
      <c r="BB5" s="386" t="str">
        <f t="shared" ref="BB5:BB28" si="60">IF($AR5=1,AD5,"")</f>
        <v/>
      </c>
      <c r="BC5" s="378" t="str">
        <f t="shared" ref="BC5:BC28" si="61">IF($AR5=1,AE5,"")</f>
        <v/>
      </c>
      <c r="BD5" s="379" t="str">
        <f t="shared" ref="BD5:BD28" si="62">IF($AR5=1,AF5,"")</f>
        <v/>
      </c>
      <c r="BE5" s="367"/>
      <c r="BF5" s="367"/>
      <c r="BG5" s="376" t="str">
        <f t="shared" ref="BG5:BG28" si="63">IF($AS5=1,AI5,"")</f>
        <v/>
      </c>
      <c r="BH5" s="377" t="str">
        <f t="shared" ref="BH5:BH28" si="64">IF($AS5=1,AJ5,"")</f>
        <v/>
      </c>
      <c r="BI5" s="380" t="str">
        <f t="shared" ref="BI5:BI28" si="65">IF($AS5=1,AK5,"")</f>
        <v/>
      </c>
      <c r="BJ5" s="386" t="str">
        <f t="shared" ref="BJ5:BJ28" si="66">IF($AS5=1,AL5,"")</f>
        <v/>
      </c>
      <c r="BK5" s="378" t="str">
        <f t="shared" ref="BK5:BK28" si="67">IF($AS5=1,AM5,"")</f>
        <v/>
      </c>
      <c r="BL5" s="379" t="str">
        <f t="shared" ref="BL5:BL28" si="68">IF($AS5=1,AN5,"")</f>
        <v/>
      </c>
      <c r="BM5" s="367"/>
      <c r="BN5" s="376" t="str">
        <f t="shared" ref="BN5:BN13" si="69">IF($AT5=1,AA5,"")</f>
        <v/>
      </c>
      <c r="BO5" s="377" t="str">
        <f t="shared" ref="BO5:BO13" si="70">IF($AT5=1,AB5,"")</f>
        <v/>
      </c>
      <c r="BP5" s="380" t="str">
        <f t="shared" ref="BP5:BP13" si="71">IF($AT5=1,AC5,"")</f>
        <v/>
      </c>
      <c r="BQ5" s="386" t="str">
        <f t="shared" ref="BQ5:BQ28" si="72">IF($AT5=1,AD5,"")</f>
        <v/>
      </c>
      <c r="BR5" s="378" t="str">
        <f t="shared" ref="BR5:BR28" si="73">IF($AT5=1,AE5,"")</f>
        <v/>
      </c>
      <c r="BS5" s="379" t="str">
        <f t="shared" ref="BS5:BS28" si="74">IF($AT5=1,AF5,"")</f>
        <v/>
      </c>
      <c r="BT5" s="367"/>
      <c r="BU5" s="376" t="str">
        <f t="shared" ref="BU5:BU28" si="75">IF($AU5=1,AA5,"")</f>
        <v/>
      </c>
      <c r="BV5" s="377" t="str">
        <f t="shared" ref="BV5:BV28" si="76">IF($AU5=1,AB5,"")</f>
        <v/>
      </c>
      <c r="BW5" s="380" t="str">
        <f t="shared" ref="BW5:BW28" si="77">IF($AU5=1,AC5,"")</f>
        <v/>
      </c>
      <c r="BX5" s="386" t="str">
        <f t="shared" ref="BX5:BX28" si="78">IF($AU5=1,AD5,"")</f>
        <v/>
      </c>
      <c r="BY5" s="378" t="str">
        <f t="shared" ref="BY5:BY28" si="79">IF($AU5=1,AE5,"")</f>
        <v/>
      </c>
      <c r="BZ5" s="379" t="str">
        <f t="shared" ref="BZ5:BZ28" si="80">IF($AU5=1,AF5,"")</f>
        <v/>
      </c>
      <c r="CA5" s="367"/>
      <c r="CB5" s="376">
        <f>IF($AV5=1,AA5,"")</f>
        <v>-0.13468575798721485</v>
      </c>
      <c r="CC5" s="377">
        <f t="shared" ref="CC5:CC28" si="81">IF($AV5=1,AB5,"")</f>
        <v>-3.1318162052715608</v>
      </c>
      <c r="CD5" s="380">
        <f t="shared" ref="CD5:CD28" si="82">IF($AV5=1,AC5,"")</f>
        <v>-3.7460055535143728</v>
      </c>
      <c r="CE5" s="386">
        <f t="shared" ref="CE5:CE28" si="83">IF($AV5=1,AD5,"")</f>
        <v>-5.7587831472240567E-3</v>
      </c>
      <c r="CF5" s="378">
        <f t="shared" ref="CF5:CF28" si="84">IF($AV5=1,AE5,"")</f>
        <v>-3.1624667092817176E-3</v>
      </c>
      <c r="CG5" s="379">
        <f t="shared" ref="CG5:CG28" si="85">IF($AV5=1,AF5,"")</f>
        <v>-3.4579493061140431E-3</v>
      </c>
      <c r="CH5" s="367"/>
      <c r="CI5" s="367"/>
      <c r="CJ5" s="376" t="s">
        <v>71</v>
      </c>
      <c r="CK5" s="377" t="s">
        <v>71</v>
      </c>
      <c r="CL5" s="380" t="s">
        <v>71</v>
      </c>
      <c r="CM5" s="386" t="s">
        <v>71</v>
      </c>
      <c r="CN5" s="378" t="s">
        <v>71</v>
      </c>
      <c r="CO5" s="379" t="s">
        <v>71</v>
      </c>
      <c r="CP5" s="367"/>
      <c r="CQ5" s="367"/>
      <c r="CR5" s="376" t="s">
        <v>71</v>
      </c>
      <c r="CS5" s="377" t="s">
        <v>71</v>
      </c>
      <c r="CT5" s="380" t="s">
        <v>71</v>
      </c>
      <c r="CU5" s="386" t="s">
        <v>71</v>
      </c>
      <c r="CV5" s="378" t="s">
        <v>71</v>
      </c>
      <c r="CW5" s="379" t="s">
        <v>71</v>
      </c>
      <c r="CX5" s="367"/>
      <c r="CY5" s="376" t="s">
        <v>71</v>
      </c>
      <c r="CZ5" s="377" t="s">
        <v>71</v>
      </c>
      <c r="DA5" s="380" t="s">
        <v>71</v>
      </c>
      <c r="DB5" s="386" t="s">
        <v>71</v>
      </c>
      <c r="DC5" s="378" t="s">
        <v>71</v>
      </c>
      <c r="DD5" s="379" t="s">
        <v>71</v>
      </c>
      <c r="DE5" s="367"/>
      <c r="DF5" s="376" t="s">
        <v>71</v>
      </c>
      <c r="DG5" s="377" t="s">
        <v>71</v>
      </c>
      <c r="DH5" s="380" t="s">
        <v>71</v>
      </c>
      <c r="DI5" s="386" t="s">
        <v>71</v>
      </c>
      <c r="DJ5" s="378" t="s">
        <v>71</v>
      </c>
      <c r="DK5" s="379" t="s">
        <v>71</v>
      </c>
      <c r="DL5" s="367"/>
      <c r="DM5" s="376"/>
      <c r="DN5" s="377"/>
      <c r="DO5" s="380"/>
      <c r="DP5" s="386"/>
      <c r="DQ5" s="378"/>
      <c r="DR5" s="379"/>
      <c r="DS5" s="367"/>
      <c r="DU5" s="249">
        <f t="shared" ref="DU5:DU28" si="86">IF(AR5=1,$N5,0)</f>
        <v>0</v>
      </c>
      <c r="DV5" s="249">
        <f t="shared" ref="DV5:DV18" si="87">IF(AS5=1,$N5,0)</f>
        <v>0</v>
      </c>
      <c r="DW5" s="249">
        <f t="shared" ref="DW5:DW18" si="88">IF(AT5=1,$N5,0)</f>
        <v>0</v>
      </c>
      <c r="DX5" s="249">
        <f t="shared" ref="DX5:DX18" si="89">IF(AU5=1,$N5,0)</f>
        <v>0</v>
      </c>
      <c r="DY5" s="249">
        <f t="shared" ref="DY5:DY18" si="90">IF(AV5=1,$N5,0)</f>
        <v>4</v>
      </c>
      <c r="EA5" s="249">
        <f t="shared" si="9"/>
        <v>0</v>
      </c>
      <c r="EB5" s="249">
        <f t="shared" si="10"/>
        <v>0</v>
      </c>
      <c r="EC5" s="249">
        <f t="shared" si="11"/>
        <v>0</v>
      </c>
      <c r="ED5" s="249">
        <f t="shared" si="12"/>
        <v>0</v>
      </c>
      <c r="EE5" s="249">
        <f t="shared" si="13"/>
        <v>0</v>
      </c>
      <c r="EF5" s="249">
        <f t="shared" si="14"/>
        <v>0</v>
      </c>
      <c r="EH5" s="249">
        <f t="shared" si="15"/>
        <v>0</v>
      </c>
      <c r="EI5" s="249">
        <f t="shared" si="16"/>
        <v>0</v>
      </c>
      <c r="EJ5" s="249">
        <f t="shared" si="17"/>
        <v>0</v>
      </c>
      <c r="EK5" s="249">
        <f t="shared" si="18"/>
        <v>0</v>
      </c>
      <c r="EL5" s="249">
        <f t="shared" si="19"/>
        <v>0</v>
      </c>
      <c r="EM5" s="249">
        <f t="shared" si="20"/>
        <v>0</v>
      </c>
      <c r="EO5" s="249">
        <f t="shared" si="21"/>
        <v>0</v>
      </c>
      <c r="EP5" s="249">
        <f t="shared" si="22"/>
        <v>0</v>
      </c>
      <c r="EQ5" s="249">
        <f t="shared" si="23"/>
        <v>0</v>
      </c>
      <c r="ER5" s="249">
        <f t="shared" si="24"/>
        <v>0</v>
      </c>
      <c r="ES5" s="249">
        <f t="shared" si="25"/>
        <v>0</v>
      </c>
      <c r="ET5" s="249">
        <f t="shared" si="26"/>
        <v>0</v>
      </c>
      <c r="EV5" s="249">
        <f t="shared" si="27"/>
        <v>0</v>
      </c>
      <c r="EW5" s="249">
        <f t="shared" si="28"/>
        <v>0</v>
      </c>
      <c r="EX5" s="249">
        <f t="shared" si="29"/>
        <v>0</v>
      </c>
      <c r="EY5" s="249">
        <f t="shared" si="30"/>
        <v>0</v>
      </c>
      <c r="EZ5" s="249">
        <f t="shared" si="31"/>
        <v>0</v>
      </c>
      <c r="FA5" s="249">
        <f t="shared" si="32"/>
        <v>0</v>
      </c>
      <c r="FC5" s="249">
        <f t="shared" si="33"/>
        <v>0</v>
      </c>
      <c r="FD5" s="249">
        <f t="shared" si="34"/>
        <v>0</v>
      </c>
      <c r="FE5" s="249">
        <f t="shared" si="35"/>
        <v>3</v>
      </c>
      <c r="FF5" s="249">
        <f t="shared" si="36"/>
        <v>1</v>
      </c>
      <c r="FG5" s="249">
        <f t="shared" si="37"/>
        <v>1</v>
      </c>
      <c r="FH5" s="249">
        <f t="shared" si="38"/>
        <v>0</v>
      </c>
      <c r="FK5" s="240" t="str">
        <f t="shared" si="39"/>
        <v>Guatapé</v>
      </c>
      <c r="FL5" s="240">
        <f t="shared" ref="FL5:FL28" si="91">IF($W5&gt;=0,IF($W5&lt;0.2,$E5,0),0)</f>
        <v>0</v>
      </c>
      <c r="FM5" s="240">
        <f t="shared" ref="FM5:FM28" si="92">IF($W5&gt;0.2,IF($W5&lt;0.5,$E5,0),0)</f>
        <v>0</v>
      </c>
      <c r="FN5" s="240">
        <f t="shared" ref="FN5:FN28" si="93">IF($W5&gt;0.5,IF($W5&lt;0.7,$E5,0),0)</f>
        <v>0</v>
      </c>
      <c r="FO5" s="241">
        <f t="shared" si="40"/>
        <v>0</v>
      </c>
      <c r="FQ5" s="242" t="str">
        <f t="shared" si="41"/>
        <v>Guatapé</v>
      </c>
      <c r="FR5" s="240">
        <f t="shared" ref="FR5:FR28" si="94">IF($X5&gt;=0,IF($X5&lt;0.05,$E5,0),0)</f>
        <v>0</v>
      </c>
      <c r="FS5" s="240">
        <f t="shared" ref="FS5:FS28" si="95">IF($X5&gt;0.05,IF($X5&lt;0.1,$E5,0),0)</f>
        <v>0</v>
      </c>
      <c r="FT5" s="240">
        <f t="shared" ref="FT5:FT28" si="96">IF($X5&gt;0.1,IF($X5&lt;0.2,$E5,0),0)</f>
        <v>0</v>
      </c>
      <c r="FU5" s="241">
        <f t="shared" si="42"/>
        <v>0</v>
      </c>
      <c r="FW5" s="277" t="str">
        <f t="shared" si="43"/>
        <v>Guatapé</v>
      </c>
      <c r="FX5" s="278">
        <f t="shared" ref="FX5:FX28" si="97">IF($Y5&gt;=0,IF($Y5&lt;0.05,$E5,0),0)</f>
        <v>0</v>
      </c>
      <c r="FY5" s="278">
        <f t="shared" ref="FY5:FY28" si="98">IF($Y5&gt;0.05,IF($Y5&lt;0.1,$E5,0),0)</f>
        <v>0</v>
      </c>
      <c r="FZ5" s="278">
        <f t="shared" ref="FZ5:FZ28" si="99">IF($Y5&gt;0.1,IF($Y5&lt;0.2,$E5,0),0)</f>
        <v>0</v>
      </c>
      <c r="GA5" s="279">
        <f t="shared" si="44"/>
        <v>0</v>
      </c>
    </row>
    <row r="6" spans="1:183" x14ac:dyDescent="0.35">
      <c r="A6" s="333">
        <v>1993</v>
      </c>
      <c r="B6" s="158" t="s">
        <v>136</v>
      </c>
      <c r="C6" s="158">
        <v>3</v>
      </c>
      <c r="D6" s="716"/>
      <c r="E6" s="324" t="s">
        <v>23</v>
      </c>
      <c r="F6" s="269">
        <f t="shared" ref="F6:F28" si="100">2020-A6</f>
        <v>27</v>
      </c>
      <c r="G6" s="280">
        <f>COUNT(RiograndeII!D24:D38)</f>
        <v>0</v>
      </c>
      <c r="H6" s="281">
        <f>COUNT(RiograndeII!E24:E38)</f>
        <v>0</v>
      </c>
      <c r="I6" s="281">
        <f>COUNT(RiograndeII!F24:F38)</f>
        <v>4</v>
      </c>
      <c r="J6" s="281">
        <f>COUNT(RiograndeII!G24:G38)</f>
        <v>1</v>
      </c>
      <c r="K6" s="281">
        <f>COUNT(RiograndeII!H24:H38)</f>
        <v>0</v>
      </c>
      <c r="L6" s="281"/>
      <c r="M6" s="281"/>
      <c r="N6" s="282">
        <f>COUNT(RiograndeII!C24:C38)</f>
        <v>5</v>
      </c>
      <c r="O6" s="280">
        <v>19</v>
      </c>
      <c r="P6" s="329">
        <v>102.91</v>
      </c>
      <c r="Q6" s="295">
        <f>RiograndeII!J26</f>
        <v>51.134391859375</v>
      </c>
      <c r="R6" s="296">
        <f>RiograndeII!J33</f>
        <v>51.51</v>
      </c>
      <c r="S6" s="295">
        <f>RiograndeII!K26</f>
        <v>137.59169182031252</v>
      </c>
      <c r="T6" s="297">
        <f>RiograndeII!K33</f>
        <v>138.78</v>
      </c>
      <c r="U6" s="295">
        <f>RiograndeII!L26</f>
        <v>236.32225700000001</v>
      </c>
      <c r="V6" s="296">
        <f>RiograndeII!L33</f>
        <v>238.22</v>
      </c>
      <c r="W6" s="288">
        <f t="shared" si="45"/>
        <v>-7.3455090980246683E-3</v>
      </c>
      <c r="X6" s="289">
        <f t="shared" si="46"/>
        <v>-8.6364820721831787E-3</v>
      </c>
      <c r="Y6" s="290">
        <f t="shared" si="47"/>
        <v>-8.030318532375862E-3</v>
      </c>
      <c r="Z6" s="367"/>
      <c r="AA6" s="376">
        <f>RiograndeII!O32</f>
        <v>-1.7963439639429261E-2</v>
      </c>
      <c r="AB6" s="377">
        <f>RiograndeII!P32</f>
        <v>-5.6830776413250898E-2</v>
      </c>
      <c r="AC6" s="380">
        <f>RiograndeII!Q32</f>
        <v>-9.0759459512578189E-2</v>
      </c>
      <c r="AD6" s="386">
        <f>RiograndeII!O33</f>
        <v>-3.5129858762827617E-4</v>
      </c>
      <c r="AE6" s="378">
        <f>RiograndeII!P33</f>
        <v>-4.1303930245634954E-4</v>
      </c>
      <c r="AF6" s="379">
        <f>RiograndeII!Q33</f>
        <v>-3.8404956293464217E-4</v>
      </c>
      <c r="AG6" s="367"/>
      <c r="AH6" s="367"/>
      <c r="AI6" s="376" t="str">
        <f t="shared" si="48"/>
        <v/>
      </c>
      <c r="AJ6" s="377" t="str">
        <f t="shared" si="49"/>
        <v/>
      </c>
      <c r="AK6" s="380" t="str">
        <f t="shared" si="50"/>
        <v/>
      </c>
      <c r="AL6" s="386" t="str">
        <f t="shared" si="51"/>
        <v/>
      </c>
      <c r="AM6" s="378" t="str">
        <f t="shared" si="52"/>
        <v/>
      </c>
      <c r="AN6" s="379" t="str">
        <f t="shared" si="53"/>
        <v/>
      </c>
      <c r="AO6" s="367"/>
      <c r="AP6" s="350">
        <f t="shared" si="54"/>
        <v>0</v>
      </c>
      <c r="AQ6" s="368"/>
      <c r="AR6" s="277">
        <f t="shared" si="1"/>
        <v>0</v>
      </c>
      <c r="AS6" s="278">
        <f t="shared" si="55"/>
        <v>0</v>
      </c>
      <c r="AT6" s="278">
        <f t="shared" si="2"/>
        <v>0</v>
      </c>
      <c r="AU6" s="278">
        <f t="shared" si="3"/>
        <v>1</v>
      </c>
      <c r="AV6" s="279">
        <f t="shared" si="56"/>
        <v>0</v>
      </c>
      <c r="AX6" s="367"/>
      <c r="AY6" s="376" t="str">
        <f t="shared" si="57"/>
        <v/>
      </c>
      <c r="AZ6" s="377" t="str">
        <f t="shared" si="58"/>
        <v/>
      </c>
      <c r="BA6" s="380" t="str">
        <f t="shared" si="59"/>
        <v/>
      </c>
      <c r="BB6" s="386" t="str">
        <f t="shared" si="60"/>
        <v/>
      </c>
      <c r="BC6" s="378" t="str">
        <f t="shared" si="61"/>
        <v/>
      </c>
      <c r="BD6" s="379" t="str">
        <f t="shared" si="62"/>
        <v/>
      </c>
      <c r="BE6" s="367"/>
      <c r="BF6" s="367"/>
      <c r="BG6" s="376" t="str">
        <f t="shared" si="63"/>
        <v/>
      </c>
      <c r="BH6" s="377" t="str">
        <f t="shared" si="64"/>
        <v/>
      </c>
      <c r="BI6" s="380" t="str">
        <f t="shared" si="65"/>
        <v/>
      </c>
      <c r="BJ6" s="386" t="str">
        <f t="shared" si="66"/>
        <v/>
      </c>
      <c r="BK6" s="378" t="str">
        <f t="shared" si="67"/>
        <v/>
      </c>
      <c r="BL6" s="379" t="str">
        <f t="shared" si="68"/>
        <v/>
      </c>
      <c r="BM6" s="367"/>
      <c r="BN6" s="376" t="str">
        <f t="shared" si="69"/>
        <v/>
      </c>
      <c r="BO6" s="377" t="str">
        <f t="shared" si="70"/>
        <v/>
      </c>
      <c r="BP6" s="380" t="str">
        <f t="shared" si="71"/>
        <v/>
      </c>
      <c r="BQ6" s="386" t="str">
        <f t="shared" si="72"/>
        <v/>
      </c>
      <c r="BR6" s="378" t="str">
        <f t="shared" si="73"/>
        <v/>
      </c>
      <c r="BS6" s="379" t="str">
        <f t="shared" si="74"/>
        <v/>
      </c>
      <c r="BT6" s="367"/>
      <c r="BU6" s="376">
        <f t="shared" si="75"/>
        <v>-1.7963439639429261E-2</v>
      </c>
      <c r="BV6" s="377">
        <f t="shared" si="76"/>
        <v>-5.6830776413250898E-2</v>
      </c>
      <c r="BW6" s="380">
        <f t="shared" si="77"/>
        <v>-9.0759459512578189E-2</v>
      </c>
      <c r="BX6" s="386">
        <f t="shared" si="78"/>
        <v>-3.5129858762827617E-4</v>
      </c>
      <c r="BY6" s="378">
        <f t="shared" si="79"/>
        <v>-4.1303930245634954E-4</v>
      </c>
      <c r="BZ6" s="379">
        <f t="shared" si="80"/>
        <v>-3.8404956293464217E-4</v>
      </c>
      <c r="CA6" s="367"/>
      <c r="CB6" s="376" t="str">
        <f>IF($AV6=1,AA6,"")</f>
        <v/>
      </c>
      <c r="CC6" s="377" t="str">
        <f t="shared" si="81"/>
        <v/>
      </c>
      <c r="CD6" s="380" t="str">
        <f t="shared" si="82"/>
        <v/>
      </c>
      <c r="CE6" s="386" t="str">
        <f t="shared" si="83"/>
        <v/>
      </c>
      <c r="CF6" s="378" t="str">
        <f t="shared" si="84"/>
        <v/>
      </c>
      <c r="CG6" s="379" t="str">
        <f t="shared" si="85"/>
        <v/>
      </c>
      <c r="CH6" s="367"/>
      <c r="CI6" s="367"/>
      <c r="CJ6" s="376" t="s">
        <v>71</v>
      </c>
      <c r="CK6" s="377" t="s">
        <v>71</v>
      </c>
      <c r="CL6" s="380" t="s">
        <v>71</v>
      </c>
      <c r="CM6" s="386" t="s">
        <v>71</v>
      </c>
      <c r="CN6" s="378" t="s">
        <v>71</v>
      </c>
      <c r="CO6" s="379" t="s">
        <v>71</v>
      </c>
      <c r="CP6" s="367"/>
      <c r="CQ6" s="367"/>
      <c r="CR6" s="376" t="s">
        <v>71</v>
      </c>
      <c r="CS6" s="377" t="s">
        <v>71</v>
      </c>
      <c r="CT6" s="380" t="s">
        <v>71</v>
      </c>
      <c r="CU6" s="386" t="s">
        <v>71</v>
      </c>
      <c r="CV6" s="378" t="s">
        <v>71</v>
      </c>
      <c r="CW6" s="379" t="s">
        <v>71</v>
      </c>
      <c r="CX6" s="367"/>
      <c r="CY6" s="376" t="s">
        <v>71</v>
      </c>
      <c r="CZ6" s="377" t="s">
        <v>71</v>
      </c>
      <c r="DA6" s="380" t="s">
        <v>71</v>
      </c>
      <c r="DB6" s="386" t="s">
        <v>71</v>
      </c>
      <c r="DC6" s="378" t="s">
        <v>71</v>
      </c>
      <c r="DD6" s="379" t="s">
        <v>71</v>
      </c>
      <c r="DE6" s="367"/>
      <c r="DF6" s="376"/>
      <c r="DG6" s="377">
        <v>8.8663439665386257E-2</v>
      </c>
      <c r="DH6" s="380"/>
      <c r="DI6" s="386"/>
      <c r="DJ6" s="378">
        <v>6.4439530099808656E-4</v>
      </c>
      <c r="DK6" s="379"/>
      <c r="DL6" s="367"/>
      <c r="DM6" s="376" t="s">
        <v>71</v>
      </c>
      <c r="DN6" s="377" t="s">
        <v>71</v>
      </c>
      <c r="DO6" s="380" t="s">
        <v>71</v>
      </c>
      <c r="DP6" s="386" t="s">
        <v>71</v>
      </c>
      <c r="DQ6" s="378" t="s">
        <v>71</v>
      </c>
      <c r="DR6" s="379" t="s">
        <v>71</v>
      </c>
      <c r="DS6" s="367"/>
      <c r="DU6" s="249">
        <f t="shared" si="86"/>
        <v>0</v>
      </c>
      <c r="DV6" s="249">
        <f t="shared" si="87"/>
        <v>0</v>
      </c>
      <c r="DW6" s="249">
        <f t="shared" si="88"/>
        <v>0</v>
      </c>
      <c r="DX6" s="249">
        <f t="shared" si="89"/>
        <v>5</v>
      </c>
      <c r="DY6" s="249">
        <f t="shared" si="90"/>
        <v>0</v>
      </c>
      <c r="EA6" s="249">
        <f t="shared" si="9"/>
        <v>0</v>
      </c>
      <c r="EB6" s="249">
        <f t="shared" si="10"/>
        <v>0</v>
      </c>
      <c r="EC6" s="249">
        <f t="shared" si="11"/>
        <v>0</v>
      </c>
      <c r="ED6" s="249">
        <f t="shared" si="12"/>
        <v>0</v>
      </c>
      <c r="EE6" s="249">
        <f t="shared" si="13"/>
        <v>0</v>
      </c>
      <c r="EF6" s="249">
        <f t="shared" si="14"/>
        <v>0</v>
      </c>
      <c r="EH6" s="249">
        <f t="shared" si="15"/>
        <v>0</v>
      </c>
      <c r="EI6" s="249">
        <f t="shared" si="16"/>
        <v>0</v>
      </c>
      <c r="EJ6" s="249">
        <f t="shared" si="17"/>
        <v>0</v>
      </c>
      <c r="EK6" s="249">
        <f t="shared" si="18"/>
        <v>0</v>
      </c>
      <c r="EL6" s="249">
        <f t="shared" si="19"/>
        <v>0</v>
      </c>
      <c r="EM6" s="249">
        <f t="shared" si="20"/>
        <v>0</v>
      </c>
      <c r="EO6" s="249">
        <f t="shared" si="21"/>
        <v>0</v>
      </c>
      <c r="EP6" s="249">
        <f t="shared" si="22"/>
        <v>0</v>
      </c>
      <c r="EQ6" s="249">
        <f t="shared" si="23"/>
        <v>0</v>
      </c>
      <c r="ER6" s="249">
        <f t="shared" si="24"/>
        <v>0</v>
      </c>
      <c r="ES6" s="249">
        <f t="shared" si="25"/>
        <v>0</v>
      </c>
      <c r="ET6" s="249">
        <f t="shared" si="26"/>
        <v>0</v>
      </c>
      <c r="EV6" s="249">
        <f t="shared" si="27"/>
        <v>0</v>
      </c>
      <c r="EW6" s="249">
        <f t="shared" si="28"/>
        <v>0</v>
      </c>
      <c r="EX6" s="249">
        <f t="shared" si="29"/>
        <v>4</v>
      </c>
      <c r="EY6" s="249">
        <f t="shared" si="30"/>
        <v>1</v>
      </c>
      <c r="EZ6" s="249">
        <f t="shared" si="31"/>
        <v>0</v>
      </c>
      <c r="FA6" s="249">
        <f t="shared" si="32"/>
        <v>0</v>
      </c>
      <c r="FC6" s="249">
        <f t="shared" si="33"/>
        <v>0</v>
      </c>
      <c r="FD6" s="249">
        <f t="shared" si="34"/>
        <v>0</v>
      </c>
      <c r="FE6" s="249">
        <f t="shared" si="35"/>
        <v>0</v>
      </c>
      <c r="FF6" s="249">
        <f t="shared" si="36"/>
        <v>0</v>
      </c>
      <c r="FG6" s="249">
        <f t="shared" si="37"/>
        <v>0</v>
      </c>
      <c r="FH6" s="249">
        <f t="shared" si="38"/>
        <v>0</v>
      </c>
      <c r="FK6" s="240" t="str">
        <f t="shared" si="39"/>
        <v>Riogrande II</v>
      </c>
      <c r="FL6" s="240">
        <f t="shared" si="91"/>
        <v>0</v>
      </c>
      <c r="FM6" s="240">
        <f t="shared" si="92"/>
        <v>0</v>
      </c>
      <c r="FN6" s="240">
        <f t="shared" si="93"/>
        <v>0</v>
      </c>
      <c r="FO6" s="241">
        <f t="shared" si="40"/>
        <v>0</v>
      </c>
      <c r="FQ6" s="242" t="str">
        <f t="shared" si="41"/>
        <v>Riogrande II</v>
      </c>
      <c r="FR6" s="240">
        <f t="shared" si="94"/>
        <v>0</v>
      </c>
      <c r="FS6" s="240">
        <f t="shared" si="95"/>
        <v>0</v>
      </c>
      <c r="FT6" s="240">
        <f t="shared" si="96"/>
        <v>0</v>
      </c>
      <c r="FU6" s="241">
        <f t="shared" si="42"/>
        <v>0</v>
      </c>
      <c r="FW6" s="277" t="str">
        <f t="shared" si="43"/>
        <v>Riogrande II</v>
      </c>
      <c r="FX6" s="278">
        <f t="shared" si="97"/>
        <v>0</v>
      </c>
      <c r="FY6" s="278">
        <f t="shared" si="98"/>
        <v>0</v>
      </c>
      <c r="FZ6" s="278">
        <f t="shared" si="99"/>
        <v>0</v>
      </c>
      <c r="GA6" s="279">
        <f t="shared" si="44"/>
        <v>0</v>
      </c>
    </row>
    <row r="7" spans="1:183" x14ac:dyDescent="0.35">
      <c r="A7" s="333">
        <v>1965</v>
      </c>
      <c r="B7" s="158" t="s">
        <v>136</v>
      </c>
      <c r="C7" s="158">
        <v>4</v>
      </c>
      <c r="D7" s="716"/>
      <c r="E7" s="324" t="s">
        <v>215</v>
      </c>
      <c r="F7" s="269">
        <f t="shared" si="100"/>
        <v>55</v>
      </c>
      <c r="G7" s="280">
        <f>COUNT(Miraflores!D24:D37)</f>
        <v>0</v>
      </c>
      <c r="H7" s="281">
        <f>COUNT(Miraflores!E24:E37)</f>
        <v>0</v>
      </c>
      <c r="I7" s="281">
        <f>COUNT(Miraflores!F24:F37)</f>
        <v>4</v>
      </c>
      <c r="J7" s="281">
        <f>COUNT(Miraflores!G24:G37)</f>
        <v>0</v>
      </c>
      <c r="K7" s="281">
        <f>COUNT(Miraflores!H24:H37)</f>
        <v>0</v>
      </c>
      <c r="L7" s="281"/>
      <c r="M7" s="281"/>
      <c r="N7" s="282">
        <f>COUNT(Miraflores!C24:C37)</f>
        <v>4</v>
      </c>
      <c r="O7" s="291" t="s">
        <v>96</v>
      </c>
      <c r="P7" s="330" t="s">
        <v>96</v>
      </c>
      <c r="Q7" s="295">
        <f>Miraflores!J24</f>
        <v>5.9175159315927885</v>
      </c>
      <c r="R7" s="296">
        <f>Miraflores!J27</f>
        <v>8.0706812499999998</v>
      </c>
      <c r="S7" s="295">
        <f>Miraflores!K24</f>
        <v>90.711804000000001</v>
      </c>
      <c r="T7" s="297">
        <f>Miraflores!K27</f>
        <v>96.579171874999986</v>
      </c>
      <c r="U7" s="295">
        <f>Miraflores!L24</f>
        <v>101.32</v>
      </c>
      <c r="V7" s="296">
        <f>Miraflores!L27</f>
        <v>110.2880625</v>
      </c>
      <c r="W7" s="288">
        <f t="shared" si="45"/>
        <v>-0.36386303700709333</v>
      </c>
      <c r="X7" s="289">
        <f t="shared" si="46"/>
        <v>-6.4681415386689756E-2</v>
      </c>
      <c r="Y7" s="290">
        <f t="shared" si="47"/>
        <v>-8.8512263126727234E-2</v>
      </c>
      <c r="Z7" s="367"/>
      <c r="AA7" s="376">
        <f>Miraflores!O32</f>
        <v>-0.14330877848625675</v>
      </c>
      <c r="AB7" s="377">
        <f>Miraflores!P32</f>
        <v>-0.39051591436451394</v>
      </c>
      <c r="AC7" s="380">
        <f>Miraflores!Q32</f>
        <v>-0.59688964487600304</v>
      </c>
      <c r="AD7" s="386">
        <f>Miraflores!O33</f>
        <v>-2.4217725840187648E-2</v>
      </c>
      <c r="AE7" s="378">
        <f>Miraflores!P33</f>
        <v>-4.3050176178230778E-3</v>
      </c>
      <c r="AF7" s="379">
        <f>Miraflores!Q33</f>
        <v>-5.8911334867351268E-3</v>
      </c>
      <c r="AG7" s="367"/>
      <c r="AH7" s="367"/>
      <c r="AI7" s="376" t="str">
        <f t="shared" si="48"/>
        <v/>
      </c>
      <c r="AJ7" s="377" t="str">
        <f t="shared" si="49"/>
        <v/>
      </c>
      <c r="AK7" s="380" t="str">
        <f t="shared" si="50"/>
        <v/>
      </c>
      <c r="AL7" s="386" t="str">
        <f t="shared" si="51"/>
        <v/>
      </c>
      <c r="AM7" s="378" t="str">
        <f t="shared" si="52"/>
        <v/>
      </c>
      <c r="AN7" s="379" t="str">
        <f t="shared" si="53"/>
        <v/>
      </c>
      <c r="AO7" s="367"/>
      <c r="AP7" s="350">
        <f t="shared" si="54"/>
        <v>0</v>
      </c>
      <c r="AQ7" s="368"/>
      <c r="AR7" s="277">
        <f t="shared" si="1"/>
        <v>0</v>
      </c>
      <c r="AS7" s="278">
        <f t="shared" si="55"/>
        <v>0</v>
      </c>
      <c r="AT7" s="278">
        <f t="shared" si="2"/>
        <v>0</v>
      </c>
      <c r="AU7" s="278">
        <f t="shared" si="3"/>
        <v>0</v>
      </c>
      <c r="AV7" s="279">
        <f t="shared" si="56"/>
        <v>1</v>
      </c>
      <c r="AX7" s="367"/>
      <c r="AY7" s="376" t="str">
        <f t="shared" si="57"/>
        <v/>
      </c>
      <c r="AZ7" s="377" t="str">
        <f t="shared" si="58"/>
        <v/>
      </c>
      <c r="BA7" s="380" t="str">
        <f t="shared" si="59"/>
        <v/>
      </c>
      <c r="BB7" s="386" t="str">
        <f t="shared" si="60"/>
        <v/>
      </c>
      <c r="BC7" s="378" t="str">
        <f t="shared" si="61"/>
        <v/>
      </c>
      <c r="BD7" s="379" t="str">
        <f t="shared" si="62"/>
        <v/>
      </c>
      <c r="BE7" s="367"/>
      <c r="BF7" s="367"/>
      <c r="BG7" s="376" t="str">
        <f t="shared" si="63"/>
        <v/>
      </c>
      <c r="BH7" s="377" t="str">
        <f t="shared" si="64"/>
        <v/>
      </c>
      <c r="BI7" s="380" t="str">
        <f t="shared" si="65"/>
        <v/>
      </c>
      <c r="BJ7" s="386" t="str">
        <f t="shared" si="66"/>
        <v/>
      </c>
      <c r="BK7" s="378" t="str">
        <f t="shared" si="67"/>
        <v/>
      </c>
      <c r="BL7" s="379" t="str">
        <f t="shared" si="68"/>
        <v/>
      </c>
      <c r="BM7" s="367"/>
      <c r="BN7" s="376" t="str">
        <f t="shared" si="69"/>
        <v/>
      </c>
      <c r="BO7" s="377" t="str">
        <f t="shared" si="70"/>
        <v/>
      </c>
      <c r="BP7" s="380" t="str">
        <f t="shared" si="71"/>
        <v/>
      </c>
      <c r="BQ7" s="386" t="str">
        <f t="shared" si="72"/>
        <v/>
      </c>
      <c r="BR7" s="378" t="str">
        <f t="shared" si="73"/>
        <v/>
      </c>
      <c r="BS7" s="379" t="str">
        <f t="shared" si="74"/>
        <v/>
      </c>
      <c r="BT7" s="367"/>
      <c r="BU7" s="376" t="str">
        <f t="shared" si="75"/>
        <v/>
      </c>
      <c r="BV7" s="377" t="str">
        <f t="shared" si="76"/>
        <v/>
      </c>
      <c r="BW7" s="380" t="str">
        <f t="shared" si="77"/>
        <v/>
      </c>
      <c r="BX7" s="386" t="str">
        <f t="shared" si="78"/>
        <v/>
      </c>
      <c r="BY7" s="378" t="str">
        <f t="shared" si="79"/>
        <v/>
      </c>
      <c r="BZ7" s="379" t="str">
        <f t="shared" si="80"/>
        <v/>
      </c>
      <c r="CA7" s="367"/>
      <c r="CB7" s="376">
        <f t="shared" ref="CB7:CB28" si="101">IF($AV7=1,AA7,"")</f>
        <v>-0.14330877848625675</v>
      </c>
      <c r="CC7" s="377">
        <f t="shared" si="81"/>
        <v>-0.39051591436451394</v>
      </c>
      <c r="CD7" s="380">
        <f t="shared" si="82"/>
        <v>-0.59688964487600304</v>
      </c>
      <c r="CE7" s="386">
        <f t="shared" si="83"/>
        <v>-2.4217725840187648E-2</v>
      </c>
      <c r="CF7" s="378">
        <f t="shared" si="84"/>
        <v>-4.3050176178230778E-3</v>
      </c>
      <c r="CG7" s="379">
        <f t="shared" si="85"/>
        <v>-5.8911334867351268E-3</v>
      </c>
      <c r="CH7" s="367"/>
      <c r="CI7" s="367"/>
      <c r="CJ7" s="376" t="s">
        <v>71</v>
      </c>
      <c r="CK7" s="377" t="s">
        <v>71</v>
      </c>
      <c r="CL7" s="380" t="s">
        <v>71</v>
      </c>
      <c r="CM7" s="386" t="s">
        <v>71</v>
      </c>
      <c r="CN7" s="378" t="s">
        <v>71</v>
      </c>
      <c r="CO7" s="379" t="s">
        <v>71</v>
      </c>
      <c r="CP7" s="367"/>
      <c r="CQ7" s="367"/>
      <c r="CR7" s="376" t="s">
        <v>71</v>
      </c>
      <c r="CS7" s="377" t="s">
        <v>71</v>
      </c>
      <c r="CT7" s="380" t="s">
        <v>71</v>
      </c>
      <c r="CU7" s="386" t="s">
        <v>71</v>
      </c>
      <c r="CV7" s="378" t="s">
        <v>71</v>
      </c>
      <c r="CW7" s="379" t="s">
        <v>71</v>
      </c>
      <c r="CX7" s="367"/>
      <c r="CY7" s="376" t="s">
        <v>71</v>
      </c>
      <c r="CZ7" s="377" t="s">
        <v>71</v>
      </c>
      <c r="DA7" s="380" t="s">
        <v>71</v>
      </c>
      <c r="DB7" s="386" t="s">
        <v>71</v>
      </c>
      <c r="DC7" s="378" t="s">
        <v>71</v>
      </c>
      <c r="DD7" s="379" t="s">
        <v>71</v>
      </c>
      <c r="DE7" s="367"/>
      <c r="DF7" s="376" t="s">
        <v>71</v>
      </c>
      <c r="DG7" s="377" t="s">
        <v>71</v>
      </c>
      <c r="DH7" s="380" t="s">
        <v>71</v>
      </c>
      <c r="DI7" s="386" t="s">
        <v>71</v>
      </c>
      <c r="DJ7" s="378" t="s">
        <v>71</v>
      </c>
      <c r="DK7" s="379" t="s">
        <v>71</v>
      </c>
      <c r="DL7" s="367"/>
      <c r="DM7" s="376"/>
      <c r="DN7" s="377"/>
      <c r="DO7" s="380"/>
      <c r="DP7" s="386"/>
      <c r="DQ7" s="378"/>
      <c r="DR7" s="379"/>
      <c r="DS7" s="367"/>
      <c r="DU7" s="249">
        <f t="shared" si="86"/>
        <v>0</v>
      </c>
      <c r="DV7" s="249">
        <f t="shared" si="87"/>
        <v>0</v>
      </c>
      <c r="DW7" s="249">
        <f t="shared" si="88"/>
        <v>0</v>
      </c>
      <c r="DX7" s="249">
        <f t="shared" si="89"/>
        <v>0</v>
      </c>
      <c r="DY7" s="249">
        <f t="shared" si="90"/>
        <v>4</v>
      </c>
      <c r="EA7" s="249">
        <f t="shared" si="9"/>
        <v>0</v>
      </c>
      <c r="EB7" s="249">
        <f t="shared" si="10"/>
        <v>0</v>
      </c>
      <c r="EC7" s="249">
        <f t="shared" si="11"/>
        <v>0</v>
      </c>
      <c r="ED7" s="249">
        <f t="shared" si="12"/>
        <v>0</v>
      </c>
      <c r="EE7" s="249">
        <f t="shared" si="13"/>
        <v>0</v>
      </c>
      <c r="EF7" s="249">
        <f t="shared" si="14"/>
        <v>0</v>
      </c>
      <c r="EH7" s="249">
        <f t="shared" si="15"/>
        <v>0</v>
      </c>
      <c r="EI7" s="249">
        <f t="shared" si="16"/>
        <v>0</v>
      </c>
      <c r="EJ7" s="249">
        <f t="shared" si="17"/>
        <v>0</v>
      </c>
      <c r="EK7" s="249">
        <f t="shared" si="18"/>
        <v>0</v>
      </c>
      <c r="EL7" s="249">
        <f t="shared" si="19"/>
        <v>0</v>
      </c>
      <c r="EM7" s="249">
        <f t="shared" si="20"/>
        <v>0</v>
      </c>
      <c r="EO7" s="249">
        <f t="shared" si="21"/>
        <v>0</v>
      </c>
      <c r="EP7" s="249">
        <f t="shared" si="22"/>
        <v>0</v>
      </c>
      <c r="EQ7" s="249">
        <f t="shared" si="23"/>
        <v>0</v>
      </c>
      <c r="ER7" s="249">
        <f t="shared" si="24"/>
        <v>0</v>
      </c>
      <c r="ES7" s="249">
        <f t="shared" si="25"/>
        <v>0</v>
      </c>
      <c r="ET7" s="249">
        <f t="shared" si="26"/>
        <v>0</v>
      </c>
      <c r="EV7" s="249">
        <f t="shared" si="27"/>
        <v>0</v>
      </c>
      <c r="EW7" s="249">
        <f t="shared" si="28"/>
        <v>0</v>
      </c>
      <c r="EX7" s="249">
        <f t="shared" si="29"/>
        <v>0</v>
      </c>
      <c r="EY7" s="249">
        <f t="shared" si="30"/>
        <v>0</v>
      </c>
      <c r="EZ7" s="249">
        <f t="shared" si="31"/>
        <v>0</v>
      </c>
      <c r="FA7" s="249">
        <f t="shared" si="32"/>
        <v>0</v>
      </c>
      <c r="FC7" s="249">
        <f t="shared" si="33"/>
        <v>0</v>
      </c>
      <c r="FD7" s="249">
        <f t="shared" si="34"/>
        <v>0</v>
      </c>
      <c r="FE7" s="249">
        <f t="shared" si="35"/>
        <v>4</v>
      </c>
      <c r="FF7" s="249">
        <f t="shared" si="36"/>
        <v>0</v>
      </c>
      <c r="FG7" s="249">
        <f t="shared" si="37"/>
        <v>0</v>
      </c>
      <c r="FH7" s="249">
        <f t="shared" si="38"/>
        <v>0</v>
      </c>
      <c r="FK7" s="240" t="str">
        <f t="shared" si="39"/>
        <v>Mirafores</v>
      </c>
      <c r="FL7" s="240">
        <f t="shared" si="91"/>
        <v>0</v>
      </c>
      <c r="FM7" s="240">
        <f t="shared" si="92"/>
        <v>0</v>
      </c>
      <c r="FN7" s="240">
        <f t="shared" si="93"/>
        <v>0</v>
      </c>
      <c r="FO7" s="241">
        <f t="shared" si="40"/>
        <v>0</v>
      </c>
      <c r="FQ7" s="242" t="str">
        <f t="shared" si="41"/>
        <v>Mirafores</v>
      </c>
      <c r="FR7" s="240">
        <f t="shared" si="94"/>
        <v>0</v>
      </c>
      <c r="FS7" s="240">
        <f t="shared" si="95"/>
        <v>0</v>
      </c>
      <c r="FT7" s="240">
        <f t="shared" si="96"/>
        <v>0</v>
      </c>
      <c r="FU7" s="241">
        <f t="shared" si="42"/>
        <v>0</v>
      </c>
      <c r="FW7" s="277" t="str">
        <f t="shared" si="43"/>
        <v>Mirafores</v>
      </c>
      <c r="FX7" s="278">
        <f t="shared" si="97"/>
        <v>0</v>
      </c>
      <c r="FY7" s="278">
        <f t="shared" si="98"/>
        <v>0</v>
      </c>
      <c r="FZ7" s="278">
        <f t="shared" si="99"/>
        <v>0</v>
      </c>
      <c r="GA7" s="279">
        <f t="shared" si="44"/>
        <v>0</v>
      </c>
    </row>
    <row r="8" spans="1:183" x14ac:dyDescent="0.35">
      <c r="A8" s="333">
        <v>1964</v>
      </c>
      <c r="B8" s="158" t="s">
        <v>136</v>
      </c>
      <c r="C8" s="158">
        <v>5</v>
      </c>
      <c r="D8" s="716"/>
      <c r="E8" s="324" t="s">
        <v>75</v>
      </c>
      <c r="F8" s="269">
        <f t="shared" si="100"/>
        <v>56</v>
      </c>
      <c r="G8" s="280">
        <f>COUNT(Troneras!D24:D36)</f>
        <v>0</v>
      </c>
      <c r="H8" s="281">
        <f>COUNT(Troneras!E24:E36)</f>
        <v>0</v>
      </c>
      <c r="I8" s="281">
        <f>COUNT(Troneras!F24:F36)</f>
        <v>3</v>
      </c>
      <c r="J8" s="281">
        <f>COUNT(Troneras!G24:G36)</f>
        <v>1</v>
      </c>
      <c r="K8" s="281">
        <f>COUNT(Troneras!H24:H36)</f>
        <v>1</v>
      </c>
      <c r="L8" s="281"/>
      <c r="M8" s="281"/>
      <c r="N8" s="282">
        <f>COUNT(Troneras!C24:C36)</f>
        <v>4</v>
      </c>
      <c r="O8" s="280">
        <v>40</v>
      </c>
      <c r="P8" s="329">
        <v>198.2</v>
      </c>
      <c r="Q8" s="295">
        <f>Troneras!J27</f>
        <v>2.0440491000000001</v>
      </c>
      <c r="R8" s="296">
        <f>Troneras!J31</f>
        <v>1.9064110920399999</v>
      </c>
      <c r="S8" s="295">
        <f>Troneras!K27</f>
        <v>20.570342130000004</v>
      </c>
      <c r="T8" s="296">
        <f>Troneras!K31</f>
        <v>21.9</v>
      </c>
      <c r="U8" s="295">
        <f>Troneras!L27</f>
        <v>32.380352710000004</v>
      </c>
      <c r="V8" s="296">
        <f>Troneras!L31</f>
        <v>32.450000000000003</v>
      </c>
      <c r="W8" s="288">
        <f>(Q8-R8)/Q8</f>
        <v>6.7335959767307024E-2</v>
      </c>
      <c r="X8" s="289">
        <f>(S8-T8)/S8</f>
        <v>-6.463956027550985E-2</v>
      </c>
      <c r="Y8" s="290">
        <f t="shared" si="47"/>
        <v>-2.1509120244539459E-3</v>
      </c>
      <c r="Z8" s="367"/>
      <c r="AA8" s="376">
        <f>Troneras!O32</f>
        <v>7.4925984944668239E-3</v>
      </c>
      <c r="AB8" s="377">
        <f>Troneras!P32</f>
        <v>-7.2382568612975109E-2</v>
      </c>
      <c r="AC8" s="380">
        <f>Troneras!Q32</f>
        <v>-3.791388642803819E-3</v>
      </c>
      <c r="AD8" s="386">
        <f>Troneras!O33</f>
        <v>3.6655667882277503E-3</v>
      </c>
      <c r="AE8" s="378">
        <f>Troneras!P33</f>
        <v>-3.518782923275331E-3</v>
      </c>
      <c r="AF8" s="379">
        <f>Troneras!Q33</f>
        <v>-1.1708917060785836E-4</v>
      </c>
      <c r="AG8" s="367"/>
      <c r="AH8" s="367"/>
      <c r="AI8" s="376">
        <f>IF(AA8&gt;0,AA8,"")</f>
        <v>7.4925984944668239E-3</v>
      </c>
      <c r="AJ8" s="377" t="str">
        <f t="shared" si="49"/>
        <v/>
      </c>
      <c r="AK8" s="380" t="str">
        <f t="shared" si="50"/>
        <v/>
      </c>
      <c r="AL8" s="386">
        <f t="shared" si="51"/>
        <v>3.6655667882277503E-3</v>
      </c>
      <c r="AM8" s="378" t="str">
        <f t="shared" si="52"/>
        <v/>
      </c>
      <c r="AN8" s="379" t="str">
        <f t="shared" si="53"/>
        <v/>
      </c>
      <c r="AO8" s="367"/>
      <c r="AP8" s="350">
        <f t="shared" si="54"/>
        <v>0</v>
      </c>
      <c r="AQ8" s="368"/>
      <c r="AR8" s="277">
        <f t="shared" si="1"/>
        <v>0</v>
      </c>
      <c r="AS8" s="278">
        <f t="shared" si="55"/>
        <v>0</v>
      </c>
      <c r="AT8" s="278">
        <f t="shared" si="2"/>
        <v>0</v>
      </c>
      <c r="AU8" s="278">
        <f t="shared" si="3"/>
        <v>0</v>
      </c>
      <c r="AV8" s="279">
        <f t="shared" si="56"/>
        <v>1</v>
      </c>
      <c r="AX8" s="367"/>
      <c r="AY8" s="376" t="str">
        <f t="shared" si="57"/>
        <v/>
      </c>
      <c r="AZ8" s="377" t="str">
        <f t="shared" si="58"/>
        <v/>
      </c>
      <c r="BA8" s="380" t="str">
        <f t="shared" si="59"/>
        <v/>
      </c>
      <c r="BB8" s="386" t="str">
        <f t="shared" si="60"/>
        <v/>
      </c>
      <c r="BC8" s="378" t="str">
        <f t="shared" si="61"/>
        <v/>
      </c>
      <c r="BD8" s="379" t="str">
        <f t="shared" si="62"/>
        <v/>
      </c>
      <c r="BE8" s="367"/>
      <c r="BF8" s="367"/>
      <c r="BG8" s="376" t="str">
        <f t="shared" si="63"/>
        <v/>
      </c>
      <c r="BH8" s="377" t="str">
        <f t="shared" si="64"/>
        <v/>
      </c>
      <c r="BI8" s="380" t="str">
        <f t="shared" si="65"/>
        <v/>
      </c>
      <c r="BJ8" s="386" t="str">
        <f t="shared" si="66"/>
        <v/>
      </c>
      <c r="BK8" s="378" t="str">
        <f t="shared" si="67"/>
        <v/>
      </c>
      <c r="BL8" s="379" t="str">
        <f t="shared" si="68"/>
        <v/>
      </c>
      <c r="BM8" s="367"/>
      <c r="BN8" s="376" t="str">
        <f t="shared" si="69"/>
        <v/>
      </c>
      <c r="BO8" s="377" t="str">
        <f t="shared" si="70"/>
        <v/>
      </c>
      <c r="BP8" s="380" t="str">
        <f t="shared" si="71"/>
        <v/>
      </c>
      <c r="BQ8" s="386" t="str">
        <f t="shared" si="72"/>
        <v/>
      </c>
      <c r="BR8" s="378" t="str">
        <f t="shared" si="73"/>
        <v/>
      </c>
      <c r="BS8" s="379" t="str">
        <f t="shared" si="74"/>
        <v/>
      </c>
      <c r="BT8" s="367"/>
      <c r="BU8" s="376" t="str">
        <f t="shared" si="75"/>
        <v/>
      </c>
      <c r="BV8" s="377" t="str">
        <f t="shared" si="76"/>
        <v/>
      </c>
      <c r="BW8" s="380" t="str">
        <f t="shared" si="77"/>
        <v/>
      </c>
      <c r="BX8" s="386" t="str">
        <f t="shared" si="78"/>
        <v/>
      </c>
      <c r="BY8" s="378" t="str">
        <f t="shared" si="79"/>
        <v/>
      </c>
      <c r="BZ8" s="379" t="str">
        <f t="shared" si="80"/>
        <v/>
      </c>
      <c r="CA8" s="367"/>
      <c r="CB8" s="376">
        <f t="shared" si="101"/>
        <v>7.4925984944668239E-3</v>
      </c>
      <c r="CC8" s="377">
        <f t="shared" si="81"/>
        <v>-7.2382568612975109E-2</v>
      </c>
      <c r="CD8" s="380">
        <f t="shared" si="82"/>
        <v>-3.791388642803819E-3</v>
      </c>
      <c r="CE8" s="386">
        <f t="shared" si="83"/>
        <v>3.6655667882277503E-3</v>
      </c>
      <c r="CF8" s="378">
        <f t="shared" si="84"/>
        <v>-3.518782923275331E-3</v>
      </c>
      <c r="CG8" s="379">
        <f t="shared" si="85"/>
        <v>-1.1708917060785836E-4</v>
      </c>
      <c r="CH8" s="367"/>
      <c r="CI8" s="367"/>
      <c r="CJ8" s="376" t="s">
        <v>71</v>
      </c>
      <c r="CK8" s="377" t="s">
        <v>71</v>
      </c>
      <c r="CL8" s="380" t="s">
        <v>71</v>
      </c>
      <c r="CM8" s="386" t="s">
        <v>71</v>
      </c>
      <c r="CN8" s="378" t="s">
        <v>71</v>
      </c>
      <c r="CO8" s="379" t="s">
        <v>71</v>
      </c>
      <c r="CP8" s="367"/>
      <c r="CQ8" s="367"/>
      <c r="CR8" s="376" t="s">
        <v>71</v>
      </c>
      <c r="CS8" s="377" t="s">
        <v>71</v>
      </c>
      <c r="CT8" s="380" t="s">
        <v>71</v>
      </c>
      <c r="CU8" s="386" t="s">
        <v>71</v>
      </c>
      <c r="CV8" s="378" t="s">
        <v>71</v>
      </c>
      <c r="CW8" s="379" t="s">
        <v>71</v>
      </c>
      <c r="CX8" s="367"/>
      <c r="CY8" s="376" t="s">
        <v>71</v>
      </c>
      <c r="CZ8" s="377" t="s">
        <v>71</v>
      </c>
      <c r="DA8" s="380" t="s">
        <v>71</v>
      </c>
      <c r="DB8" s="386" t="s">
        <v>71</v>
      </c>
      <c r="DC8" s="378" t="s">
        <v>71</v>
      </c>
      <c r="DD8" s="379" t="s">
        <v>71</v>
      </c>
      <c r="DE8" s="367"/>
      <c r="DF8" s="376" t="s">
        <v>71</v>
      </c>
      <c r="DG8" s="377" t="s">
        <v>71</v>
      </c>
      <c r="DH8" s="380" t="s">
        <v>71</v>
      </c>
      <c r="DI8" s="386" t="s">
        <v>71</v>
      </c>
      <c r="DJ8" s="378" t="s">
        <v>71</v>
      </c>
      <c r="DK8" s="379" t="s">
        <v>71</v>
      </c>
      <c r="DL8" s="367"/>
      <c r="DM8" s="376">
        <v>7.4925984944668239E-3</v>
      </c>
      <c r="DN8" s="377"/>
      <c r="DO8" s="380">
        <v>-3.791388642803819E-3</v>
      </c>
      <c r="DP8" s="386">
        <v>3.6655667882277503E-3</v>
      </c>
      <c r="DQ8" s="378"/>
      <c r="DR8" s="379"/>
      <c r="DS8" s="367"/>
      <c r="DU8" s="249">
        <f t="shared" si="86"/>
        <v>0</v>
      </c>
      <c r="DV8" s="249">
        <f t="shared" si="87"/>
        <v>0</v>
      </c>
      <c r="DW8" s="249">
        <f t="shared" si="88"/>
        <v>0</v>
      </c>
      <c r="DX8" s="249">
        <f t="shared" si="89"/>
        <v>0</v>
      </c>
      <c r="DY8" s="249">
        <f t="shared" si="90"/>
        <v>4</v>
      </c>
      <c r="EA8" s="249">
        <f t="shared" si="9"/>
        <v>0</v>
      </c>
      <c r="EB8" s="249">
        <f t="shared" si="10"/>
        <v>0</v>
      </c>
      <c r="EC8" s="249">
        <f t="shared" si="11"/>
        <v>0</v>
      </c>
      <c r="ED8" s="249">
        <f t="shared" si="12"/>
        <v>0</v>
      </c>
      <c r="EE8" s="249">
        <f t="shared" si="13"/>
        <v>0</v>
      </c>
      <c r="EF8" s="249">
        <f t="shared" si="14"/>
        <v>0</v>
      </c>
      <c r="EH8" s="249">
        <f t="shared" si="15"/>
        <v>0</v>
      </c>
      <c r="EI8" s="249">
        <f t="shared" si="16"/>
        <v>0</v>
      </c>
      <c r="EJ8" s="249">
        <f t="shared" si="17"/>
        <v>0</v>
      </c>
      <c r="EK8" s="249">
        <f t="shared" si="18"/>
        <v>0</v>
      </c>
      <c r="EL8" s="249">
        <f t="shared" si="19"/>
        <v>0</v>
      </c>
      <c r="EM8" s="249">
        <f t="shared" si="20"/>
        <v>0</v>
      </c>
      <c r="EO8" s="249">
        <f t="shared" si="21"/>
        <v>0</v>
      </c>
      <c r="EP8" s="249">
        <f t="shared" si="22"/>
        <v>0</v>
      </c>
      <c r="EQ8" s="249">
        <f t="shared" si="23"/>
        <v>0</v>
      </c>
      <c r="ER8" s="249">
        <f t="shared" si="24"/>
        <v>0</v>
      </c>
      <c r="ES8" s="249">
        <f t="shared" si="25"/>
        <v>0</v>
      </c>
      <c r="ET8" s="249">
        <f t="shared" si="26"/>
        <v>0</v>
      </c>
      <c r="EV8" s="249">
        <f t="shared" si="27"/>
        <v>0</v>
      </c>
      <c r="EW8" s="249">
        <f t="shared" si="28"/>
        <v>0</v>
      </c>
      <c r="EX8" s="249">
        <f t="shared" si="29"/>
        <v>0</v>
      </c>
      <c r="EY8" s="249">
        <f t="shared" si="30"/>
        <v>0</v>
      </c>
      <c r="EZ8" s="249">
        <f t="shared" si="31"/>
        <v>0</v>
      </c>
      <c r="FA8" s="249">
        <f t="shared" si="32"/>
        <v>0</v>
      </c>
      <c r="FC8" s="249">
        <f t="shared" si="33"/>
        <v>0</v>
      </c>
      <c r="FD8" s="249">
        <f t="shared" si="34"/>
        <v>0</v>
      </c>
      <c r="FE8" s="249">
        <f t="shared" si="35"/>
        <v>3</v>
      </c>
      <c r="FF8" s="249">
        <f t="shared" si="36"/>
        <v>1</v>
      </c>
      <c r="FG8" s="249">
        <f t="shared" si="37"/>
        <v>1</v>
      </c>
      <c r="FH8" s="249">
        <f t="shared" si="38"/>
        <v>0</v>
      </c>
      <c r="FK8" s="240">
        <f t="shared" si="39"/>
        <v>0</v>
      </c>
      <c r="FL8" s="240" t="str">
        <f t="shared" si="91"/>
        <v>Troneras</v>
      </c>
      <c r="FM8" s="240">
        <f t="shared" si="92"/>
        <v>0</v>
      </c>
      <c r="FN8" s="240">
        <f t="shared" si="93"/>
        <v>0</v>
      </c>
      <c r="FO8" s="241">
        <f t="shared" si="40"/>
        <v>0</v>
      </c>
      <c r="FQ8" s="242" t="str">
        <f t="shared" si="41"/>
        <v>Troneras</v>
      </c>
      <c r="FR8" s="240">
        <f t="shared" si="94"/>
        <v>0</v>
      </c>
      <c r="FS8" s="240">
        <f t="shared" si="95"/>
        <v>0</v>
      </c>
      <c r="FT8" s="240">
        <f t="shared" si="96"/>
        <v>0</v>
      </c>
      <c r="FU8" s="241">
        <f t="shared" si="42"/>
        <v>0</v>
      </c>
      <c r="FW8" s="277" t="str">
        <f t="shared" si="43"/>
        <v>Troneras</v>
      </c>
      <c r="FX8" s="278">
        <f t="shared" si="97"/>
        <v>0</v>
      </c>
      <c r="FY8" s="278">
        <f t="shared" si="98"/>
        <v>0</v>
      </c>
      <c r="FZ8" s="278">
        <f t="shared" si="99"/>
        <v>0</v>
      </c>
      <c r="GA8" s="279">
        <f t="shared" si="44"/>
        <v>0</v>
      </c>
    </row>
    <row r="9" spans="1:183" x14ac:dyDescent="0.35">
      <c r="A9" s="333">
        <v>2001</v>
      </c>
      <c r="B9" s="158" t="s">
        <v>136</v>
      </c>
      <c r="C9" s="158">
        <v>6</v>
      </c>
      <c r="D9" s="716"/>
      <c r="E9" s="324" t="s">
        <v>26</v>
      </c>
      <c r="F9" s="269">
        <f t="shared" si="100"/>
        <v>19</v>
      </c>
      <c r="G9" s="280">
        <f>COUNT('Porce II'!D24:D36)</f>
        <v>0</v>
      </c>
      <c r="H9" s="281">
        <f>COUNT('Porce II'!E24:E36)</f>
        <v>0</v>
      </c>
      <c r="I9" s="281">
        <f>COUNT('Porce II'!F24:F36)</f>
        <v>2</v>
      </c>
      <c r="J9" s="281">
        <f>COUNT('Porce II'!G24:G36)</f>
        <v>1</v>
      </c>
      <c r="K9" s="281">
        <f>COUNT('Porce II'!H24:H36)</f>
        <v>1</v>
      </c>
      <c r="L9" s="281"/>
      <c r="M9" s="281"/>
      <c r="N9" s="282">
        <f>COUNT('Porce II'!C24:C36)</f>
        <v>3</v>
      </c>
      <c r="O9" s="280">
        <v>405</v>
      </c>
      <c r="P9" s="329">
        <v>1842.96</v>
      </c>
      <c r="Q9" s="295">
        <f>'Porce II'!J26</f>
        <v>81.790000000000006</v>
      </c>
      <c r="R9" s="296">
        <f>'Porce II'!J29</f>
        <v>69.867448645799996</v>
      </c>
      <c r="S9" s="295">
        <f>'Porce II'!K26</f>
        <v>96.18</v>
      </c>
      <c r="T9" s="296">
        <f>'Porce II'!K29</f>
        <v>88.821410564000033</v>
      </c>
      <c r="U9" s="295">
        <f>'Porce II'!L26</f>
        <v>231.15557075019183</v>
      </c>
      <c r="V9" s="296">
        <f>'Porce II'!L29</f>
        <v>198.89141056400001</v>
      </c>
      <c r="W9" s="288">
        <f t="shared" si="45"/>
        <v>0.14577028187064445</v>
      </c>
      <c r="X9" s="289">
        <f t="shared" si="46"/>
        <v>7.6508519817009499E-2</v>
      </c>
      <c r="Y9" s="290">
        <f t="shared" si="47"/>
        <v>0.13957768822737768</v>
      </c>
      <c r="Z9" s="367"/>
      <c r="AA9" s="376">
        <f>'Porce II'!O32</f>
        <v>0.88756501005160182</v>
      </c>
      <c r="AB9" s="377">
        <f>'Porce II'!P32</f>
        <v>0.54780443486436681</v>
      </c>
      <c r="AC9" s="380">
        <f>'Porce II'!Q32</f>
        <v>2.4018801688680425</v>
      </c>
      <c r="AD9" s="386">
        <f>'Porce II'!O33</f>
        <v>1.085175461610957E-2</v>
      </c>
      <c r="AE9" s="378">
        <f>'Porce II'!P33</f>
        <v>5.6956169147885918E-3</v>
      </c>
      <c r="AF9" s="379">
        <f>'Porce II'!Q33</f>
        <v>1.0390751826023423E-2</v>
      </c>
      <c r="AG9" s="367"/>
      <c r="AH9" s="367"/>
      <c r="AI9" s="376">
        <f t="shared" si="48"/>
        <v>0.88756501005160182</v>
      </c>
      <c r="AJ9" s="377">
        <f t="shared" si="49"/>
        <v>0.54780443486436681</v>
      </c>
      <c r="AK9" s="380">
        <f t="shared" si="50"/>
        <v>2.4018801688680425</v>
      </c>
      <c r="AL9" s="386">
        <f t="shared" si="51"/>
        <v>1.085175461610957E-2</v>
      </c>
      <c r="AM9" s="378">
        <f t="shared" si="52"/>
        <v>5.6956169147885918E-3</v>
      </c>
      <c r="AN9" s="379">
        <f t="shared" si="53"/>
        <v>1.0390751826023423E-2</v>
      </c>
      <c r="AO9" s="367"/>
      <c r="AP9" s="350">
        <f t="shared" si="54"/>
        <v>1</v>
      </c>
      <c r="AQ9" s="368"/>
      <c r="AR9" s="277">
        <f t="shared" si="1"/>
        <v>0</v>
      </c>
      <c r="AS9" s="278">
        <f t="shared" si="55"/>
        <v>0</v>
      </c>
      <c r="AT9" s="278">
        <f t="shared" si="2"/>
        <v>1</v>
      </c>
      <c r="AU9" s="278">
        <f t="shared" si="3"/>
        <v>0</v>
      </c>
      <c r="AV9" s="279">
        <f t="shared" si="56"/>
        <v>0</v>
      </c>
      <c r="AX9" s="367"/>
      <c r="AY9" s="376" t="str">
        <f t="shared" si="57"/>
        <v/>
      </c>
      <c r="AZ9" s="377" t="str">
        <f t="shared" si="58"/>
        <v/>
      </c>
      <c r="BA9" s="380" t="str">
        <f t="shared" si="59"/>
        <v/>
      </c>
      <c r="BB9" s="386" t="str">
        <f t="shared" si="60"/>
        <v/>
      </c>
      <c r="BC9" s="378" t="str">
        <f t="shared" si="61"/>
        <v/>
      </c>
      <c r="BD9" s="379" t="str">
        <f t="shared" si="62"/>
        <v/>
      </c>
      <c r="BE9" s="367"/>
      <c r="BF9" s="367"/>
      <c r="BG9" s="376" t="str">
        <f t="shared" si="63"/>
        <v/>
      </c>
      <c r="BH9" s="377" t="str">
        <f t="shared" si="64"/>
        <v/>
      </c>
      <c r="BI9" s="380" t="str">
        <f t="shared" si="65"/>
        <v/>
      </c>
      <c r="BJ9" s="386" t="str">
        <f t="shared" si="66"/>
        <v/>
      </c>
      <c r="BK9" s="378" t="str">
        <f t="shared" si="67"/>
        <v/>
      </c>
      <c r="BL9" s="379" t="str">
        <f t="shared" si="68"/>
        <v/>
      </c>
      <c r="BM9" s="367"/>
      <c r="BN9" s="376">
        <f t="shared" si="69"/>
        <v>0.88756501005160182</v>
      </c>
      <c r="BO9" s="377">
        <f>IF($AT9=1,AB9,"")</f>
        <v>0.54780443486436681</v>
      </c>
      <c r="BP9" s="380">
        <f t="shared" si="71"/>
        <v>2.4018801688680425</v>
      </c>
      <c r="BQ9" s="386">
        <f t="shared" si="72"/>
        <v>1.085175461610957E-2</v>
      </c>
      <c r="BR9" s="378">
        <f t="shared" si="73"/>
        <v>5.6956169147885918E-3</v>
      </c>
      <c r="BS9" s="379">
        <f t="shared" si="74"/>
        <v>1.0390751826023423E-2</v>
      </c>
      <c r="BT9" s="367"/>
      <c r="BU9" s="376" t="str">
        <f t="shared" si="75"/>
        <v/>
      </c>
      <c r="BV9" s="377" t="str">
        <f t="shared" si="76"/>
        <v/>
      </c>
      <c r="BW9" s="380" t="str">
        <f t="shared" si="77"/>
        <v/>
      </c>
      <c r="BX9" s="386" t="str">
        <f t="shared" si="78"/>
        <v/>
      </c>
      <c r="BY9" s="378" t="str">
        <f t="shared" si="79"/>
        <v/>
      </c>
      <c r="BZ9" s="379" t="str">
        <f t="shared" si="80"/>
        <v/>
      </c>
      <c r="CA9" s="367"/>
      <c r="CB9" s="376" t="str">
        <f t="shared" si="101"/>
        <v/>
      </c>
      <c r="CC9" s="377" t="str">
        <f t="shared" si="81"/>
        <v/>
      </c>
      <c r="CD9" s="380" t="str">
        <f t="shared" si="82"/>
        <v/>
      </c>
      <c r="CE9" s="386" t="str">
        <f t="shared" si="83"/>
        <v/>
      </c>
      <c r="CF9" s="378" t="str">
        <f t="shared" si="84"/>
        <v/>
      </c>
      <c r="CG9" s="379" t="str">
        <f t="shared" si="85"/>
        <v/>
      </c>
      <c r="CH9" s="367"/>
      <c r="CI9" s="367"/>
      <c r="CJ9" s="376" t="s">
        <v>71</v>
      </c>
      <c r="CK9" s="377" t="s">
        <v>71</v>
      </c>
      <c r="CL9" s="380" t="s">
        <v>71</v>
      </c>
      <c r="CM9" s="386" t="s">
        <v>71</v>
      </c>
      <c r="CN9" s="378" t="s">
        <v>71</v>
      </c>
      <c r="CO9" s="379" t="s">
        <v>71</v>
      </c>
      <c r="CP9" s="367"/>
      <c r="CQ9" s="367"/>
      <c r="CR9" s="376" t="s">
        <v>71</v>
      </c>
      <c r="CS9" s="377" t="s">
        <v>71</v>
      </c>
      <c r="CT9" s="380" t="s">
        <v>71</v>
      </c>
      <c r="CU9" s="386" t="s">
        <v>71</v>
      </c>
      <c r="CV9" s="378" t="s">
        <v>71</v>
      </c>
      <c r="CW9" s="379" t="s">
        <v>71</v>
      </c>
      <c r="CX9" s="367"/>
      <c r="CY9" s="376">
        <v>0.89597102002944273</v>
      </c>
      <c r="CZ9" s="377">
        <v>0.55299261769404784</v>
      </c>
      <c r="DA9" s="380">
        <v>2.4652852227650781</v>
      </c>
      <c r="DB9" s="386">
        <v>1.0954530138518678E-2</v>
      </c>
      <c r="DC9" s="378">
        <v>5.7495593438765631E-3</v>
      </c>
      <c r="DD9" s="379">
        <v>1.0640144628966118E-2</v>
      </c>
      <c r="DE9" s="367"/>
      <c r="DF9" s="376" t="s">
        <v>71</v>
      </c>
      <c r="DG9" s="377" t="s">
        <v>71</v>
      </c>
      <c r="DH9" s="380" t="s">
        <v>71</v>
      </c>
      <c r="DI9" s="386" t="s">
        <v>71</v>
      </c>
      <c r="DJ9" s="378" t="s">
        <v>71</v>
      </c>
      <c r="DK9" s="379" t="s">
        <v>71</v>
      </c>
      <c r="DL9" s="367"/>
      <c r="DM9" s="376" t="s">
        <v>71</v>
      </c>
      <c r="DN9" s="377" t="s">
        <v>71</v>
      </c>
      <c r="DO9" s="380" t="s">
        <v>71</v>
      </c>
      <c r="DP9" s="386" t="s">
        <v>71</v>
      </c>
      <c r="DQ9" s="378" t="s">
        <v>71</v>
      </c>
      <c r="DR9" s="379" t="s">
        <v>71</v>
      </c>
      <c r="DS9" s="367"/>
      <c r="DU9" s="249">
        <f t="shared" si="86"/>
        <v>0</v>
      </c>
      <c r="DV9" s="249">
        <f t="shared" si="87"/>
        <v>0</v>
      </c>
      <c r="DW9" s="249">
        <f t="shared" si="88"/>
        <v>3</v>
      </c>
      <c r="DX9" s="249">
        <f t="shared" si="89"/>
        <v>0</v>
      </c>
      <c r="DY9" s="249">
        <f t="shared" si="90"/>
        <v>0</v>
      </c>
      <c r="EA9" s="249">
        <f t="shared" si="9"/>
        <v>0</v>
      </c>
      <c r="EB9" s="249">
        <f t="shared" si="10"/>
        <v>0</v>
      </c>
      <c r="EC9" s="249">
        <f t="shared" si="11"/>
        <v>0</v>
      </c>
      <c r="ED9" s="249">
        <f t="shared" si="12"/>
        <v>0</v>
      </c>
      <c r="EE9" s="249">
        <f t="shared" si="13"/>
        <v>0</v>
      </c>
      <c r="EF9" s="249">
        <f t="shared" si="14"/>
        <v>0</v>
      </c>
      <c r="EH9" s="249">
        <f t="shared" si="15"/>
        <v>0</v>
      </c>
      <c r="EI9" s="249">
        <f t="shared" si="16"/>
        <v>0</v>
      </c>
      <c r="EJ9" s="249">
        <f t="shared" si="17"/>
        <v>0</v>
      </c>
      <c r="EK9" s="249">
        <f t="shared" si="18"/>
        <v>0</v>
      </c>
      <c r="EL9" s="249">
        <f t="shared" si="19"/>
        <v>0</v>
      </c>
      <c r="EM9" s="249">
        <f t="shared" si="20"/>
        <v>0</v>
      </c>
      <c r="EO9" s="249">
        <f t="shared" si="21"/>
        <v>0</v>
      </c>
      <c r="EP9" s="249">
        <f t="shared" si="22"/>
        <v>0</v>
      </c>
      <c r="EQ9" s="249">
        <f t="shared" si="23"/>
        <v>2</v>
      </c>
      <c r="ER9" s="249">
        <f t="shared" si="24"/>
        <v>1</v>
      </c>
      <c r="ES9" s="249">
        <f t="shared" si="25"/>
        <v>1</v>
      </c>
      <c r="ET9" s="249">
        <f t="shared" si="26"/>
        <v>0</v>
      </c>
      <c r="EV9" s="249">
        <f t="shared" si="27"/>
        <v>0</v>
      </c>
      <c r="EW9" s="249">
        <f t="shared" si="28"/>
        <v>0</v>
      </c>
      <c r="EX9" s="249">
        <f t="shared" si="29"/>
        <v>0</v>
      </c>
      <c r="EY9" s="249">
        <f t="shared" si="30"/>
        <v>0</v>
      </c>
      <c r="EZ9" s="249">
        <f t="shared" si="31"/>
        <v>0</v>
      </c>
      <c r="FA9" s="249">
        <f t="shared" si="32"/>
        <v>0</v>
      </c>
      <c r="FC9" s="249">
        <f t="shared" si="33"/>
        <v>0</v>
      </c>
      <c r="FD9" s="249">
        <f t="shared" si="34"/>
        <v>0</v>
      </c>
      <c r="FE9" s="249">
        <f t="shared" si="35"/>
        <v>0</v>
      </c>
      <c r="FF9" s="249">
        <f t="shared" si="36"/>
        <v>0</v>
      </c>
      <c r="FG9" s="249">
        <f t="shared" si="37"/>
        <v>0</v>
      </c>
      <c r="FH9" s="249">
        <f t="shared" si="38"/>
        <v>0</v>
      </c>
      <c r="FK9" s="240">
        <f t="shared" si="39"/>
        <v>0</v>
      </c>
      <c r="FL9" s="240" t="str">
        <f t="shared" si="91"/>
        <v>Porce II</v>
      </c>
      <c r="FM9" s="240">
        <f t="shared" si="92"/>
        <v>0</v>
      </c>
      <c r="FN9" s="240">
        <f t="shared" si="93"/>
        <v>0</v>
      </c>
      <c r="FO9" s="241">
        <f t="shared" si="40"/>
        <v>0</v>
      </c>
      <c r="FQ9" s="242">
        <f t="shared" si="41"/>
        <v>0</v>
      </c>
      <c r="FR9" s="240">
        <f t="shared" si="94"/>
        <v>0</v>
      </c>
      <c r="FS9" s="240" t="str">
        <f t="shared" si="95"/>
        <v>Porce II</v>
      </c>
      <c r="FT9" s="240">
        <f t="shared" si="96"/>
        <v>0</v>
      </c>
      <c r="FU9" s="241">
        <f t="shared" si="42"/>
        <v>0</v>
      </c>
      <c r="FW9" s="277">
        <f t="shared" si="43"/>
        <v>0</v>
      </c>
      <c r="FX9" s="278">
        <f t="shared" si="97"/>
        <v>0</v>
      </c>
      <c r="FY9" s="278">
        <f t="shared" si="98"/>
        <v>0</v>
      </c>
      <c r="FZ9" s="278" t="str">
        <f t="shared" si="99"/>
        <v>Porce II</v>
      </c>
      <c r="GA9" s="279">
        <f t="shared" si="44"/>
        <v>0</v>
      </c>
    </row>
    <row r="10" spans="1:183" s="551" customFormat="1" x14ac:dyDescent="0.35">
      <c r="A10" s="528">
        <v>2011</v>
      </c>
      <c r="B10" s="556" t="s">
        <v>136</v>
      </c>
      <c r="C10" s="556">
        <v>7</v>
      </c>
      <c r="D10" s="717"/>
      <c r="E10" s="529" t="s">
        <v>27</v>
      </c>
      <c r="F10" s="684">
        <f t="shared" si="100"/>
        <v>9</v>
      </c>
      <c r="G10" s="557">
        <f>COUNT('Porce III'!D24:D36)</f>
        <v>1</v>
      </c>
      <c r="H10" s="530">
        <f>COUNT('Porce III'!E24:E36)</f>
        <v>0</v>
      </c>
      <c r="I10" s="530">
        <f>COUNT('Porce III'!F24:F36)</f>
        <v>0</v>
      </c>
      <c r="J10" s="530">
        <f>COUNT('Porce III'!G24:G36)</f>
        <v>2</v>
      </c>
      <c r="K10" s="530">
        <f>COUNT('Porce III'!H24:H36)</f>
        <v>2</v>
      </c>
      <c r="L10" s="530"/>
      <c r="M10" s="530"/>
      <c r="N10" s="559">
        <f>COUNT('Porce III'!C24:C36)</f>
        <v>3</v>
      </c>
      <c r="O10" s="557">
        <v>700</v>
      </c>
      <c r="P10" s="685">
        <v>2529.87</v>
      </c>
      <c r="Q10" s="686">
        <f>'Porce III'!J25</f>
        <v>16.238300956900002</v>
      </c>
      <c r="R10" s="687">
        <f>'Porce III'!J26</f>
        <v>16.079999999999998</v>
      </c>
      <c r="S10" s="532">
        <f>'Porce III'!K25</f>
        <v>130.8670427552</v>
      </c>
      <c r="T10" s="533">
        <f>'Porce III'!K26</f>
        <v>131.30000000000001</v>
      </c>
      <c r="U10" s="532">
        <f>'Porce III'!L25</f>
        <v>176.875029168</v>
      </c>
      <c r="V10" s="533">
        <f>'Porce III'!L26</f>
        <v>176.85</v>
      </c>
      <c r="W10" s="536">
        <f t="shared" si="45"/>
        <v>9.7486157769934596E-3</v>
      </c>
      <c r="X10" s="688">
        <f t="shared" si="46"/>
        <v>-3.3083749405868217E-3</v>
      </c>
      <c r="Y10" s="538">
        <f t="shared" si="47"/>
        <v>1.415076402685985E-4</v>
      </c>
      <c r="Z10" s="539"/>
      <c r="AA10" s="540">
        <f>'Porce III'!O32</f>
        <v>4.1568236883813829E-2</v>
      </c>
      <c r="AB10" s="541">
        <f>'Porce III'!P32</f>
        <v>-4.9001362589768338E-2</v>
      </c>
      <c r="AC10" s="542">
        <f>'Porce III'!Q32</f>
        <v>2.8327585488375729E-3</v>
      </c>
      <c r="AD10" s="543">
        <f>'Porce III'!O33</f>
        <v>2.5598883155414482E-3</v>
      </c>
      <c r="AE10" s="544">
        <f>'Porce III'!P33</f>
        <v>-3.7443623358579536E-4</v>
      </c>
      <c r="AF10" s="545">
        <f>'Porce III'!Q33</f>
        <v>1.6015593394740607E-5</v>
      </c>
      <c r="AG10" s="539"/>
      <c r="AH10" s="539"/>
      <c r="AI10" s="540">
        <f t="shared" si="48"/>
        <v>4.1568236883813829E-2</v>
      </c>
      <c r="AJ10" s="541" t="str">
        <f>IF(AB10&gt;0,AB10,"")</f>
        <v/>
      </c>
      <c r="AK10" s="542">
        <f t="shared" si="50"/>
        <v>2.8327585488375729E-3</v>
      </c>
      <c r="AL10" s="543">
        <f t="shared" si="51"/>
        <v>2.5598883155414482E-3</v>
      </c>
      <c r="AM10" s="544" t="str">
        <f t="shared" si="52"/>
        <v/>
      </c>
      <c r="AN10" s="545">
        <f t="shared" si="53"/>
        <v>1.6015593394740607E-5</v>
      </c>
      <c r="AO10" s="539"/>
      <c r="AP10" s="546">
        <f>IF(X10&gt;0,1,0)</f>
        <v>0</v>
      </c>
      <c r="AQ10" s="547"/>
      <c r="AR10" s="548">
        <f t="shared" si="1"/>
        <v>0</v>
      </c>
      <c r="AS10" s="549">
        <f t="shared" si="55"/>
        <v>1</v>
      </c>
      <c r="AT10" s="549">
        <f t="shared" si="2"/>
        <v>0</v>
      </c>
      <c r="AU10" s="549">
        <f t="shared" si="3"/>
        <v>0</v>
      </c>
      <c r="AV10" s="550">
        <f>IF(F10&gt;30,1,0)</f>
        <v>0</v>
      </c>
      <c r="AX10" s="539"/>
      <c r="AY10" s="540" t="str">
        <f t="shared" si="57"/>
        <v/>
      </c>
      <c r="AZ10" s="541" t="str">
        <f t="shared" si="58"/>
        <v/>
      </c>
      <c r="BA10" s="542" t="str">
        <f t="shared" si="59"/>
        <v/>
      </c>
      <c r="BB10" s="543" t="str">
        <f t="shared" si="60"/>
        <v/>
      </c>
      <c r="BC10" s="544" t="str">
        <f t="shared" si="61"/>
        <v/>
      </c>
      <c r="BD10" s="545" t="str">
        <f t="shared" si="62"/>
        <v/>
      </c>
      <c r="BE10" s="539"/>
      <c r="BF10" s="539"/>
      <c r="BG10" s="540">
        <f>IF($AS10=1,AI10,"")</f>
        <v>4.1568236883813829E-2</v>
      </c>
      <c r="BH10" s="541" t="str">
        <f>IF($AS10=1,AJ10,"")</f>
        <v/>
      </c>
      <c r="BI10" s="542">
        <f t="shared" si="65"/>
        <v>2.8327585488375729E-3</v>
      </c>
      <c r="BJ10" s="543">
        <f t="shared" si="66"/>
        <v>2.5598883155414482E-3</v>
      </c>
      <c r="BK10" s="544" t="str">
        <f t="shared" si="67"/>
        <v/>
      </c>
      <c r="BL10" s="545">
        <f t="shared" si="68"/>
        <v>1.6015593394740607E-5</v>
      </c>
      <c r="BM10" s="539"/>
      <c r="BN10" s="540" t="str">
        <f t="shared" si="69"/>
        <v/>
      </c>
      <c r="BO10" s="541" t="str">
        <f t="shared" si="70"/>
        <v/>
      </c>
      <c r="BP10" s="542" t="str">
        <f t="shared" si="71"/>
        <v/>
      </c>
      <c r="BQ10" s="543" t="str">
        <f t="shared" si="72"/>
        <v/>
      </c>
      <c r="BR10" s="544" t="str">
        <f t="shared" si="73"/>
        <v/>
      </c>
      <c r="BS10" s="545" t="str">
        <f t="shared" si="74"/>
        <v/>
      </c>
      <c r="BT10" s="539"/>
      <c r="BU10" s="540" t="str">
        <f t="shared" si="75"/>
        <v/>
      </c>
      <c r="BV10" s="541" t="str">
        <f t="shared" si="76"/>
        <v/>
      </c>
      <c r="BW10" s="542" t="str">
        <f t="shared" si="77"/>
        <v/>
      </c>
      <c r="BX10" s="543" t="str">
        <f t="shared" si="78"/>
        <v/>
      </c>
      <c r="BY10" s="544" t="str">
        <f t="shared" si="79"/>
        <v/>
      </c>
      <c r="BZ10" s="545" t="str">
        <f t="shared" si="80"/>
        <v/>
      </c>
      <c r="CA10" s="539"/>
      <c r="CB10" s="540" t="str">
        <f t="shared" si="101"/>
        <v/>
      </c>
      <c r="CC10" s="541" t="str">
        <f t="shared" si="81"/>
        <v/>
      </c>
      <c r="CD10" s="542" t="str">
        <f t="shared" si="82"/>
        <v/>
      </c>
      <c r="CE10" s="543" t="str">
        <f t="shared" si="83"/>
        <v/>
      </c>
      <c r="CF10" s="544" t="str">
        <f t="shared" si="84"/>
        <v/>
      </c>
      <c r="CG10" s="545" t="str">
        <f t="shared" si="85"/>
        <v/>
      </c>
      <c r="CH10" s="539"/>
      <c r="CI10" s="539"/>
      <c r="CJ10" s="540" t="s">
        <v>71</v>
      </c>
      <c r="CK10" s="541" t="s">
        <v>71</v>
      </c>
      <c r="CL10" s="542" t="s">
        <v>71</v>
      </c>
      <c r="CM10" s="543" t="s">
        <v>71</v>
      </c>
      <c r="CN10" s="544" t="s">
        <v>71</v>
      </c>
      <c r="CO10" s="545" t="s">
        <v>71</v>
      </c>
      <c r="CP10" s="539"/>
      <c r="CQ10" s="539"/>
      <c r="CR10" s="540">
        <v>2.0087289217440463E-2</v>
      </c>
      <c r="CS10" s="541">
        <v>4.0547940704268495E-2</v>
      </c>
      <c r="CT10" s="542">
        <v>6.4994305846041781E-2</v>
      </c>
      <c r="CU10" s="543">
        <v>1.4226125508102312E-3</v>
      </c>
      <c r="CV10" s="544">
        <v>3.203064903778874E-4</v>
      </c>
      <c r="CW10" s="545">
        <v>3.8227207140024419E-4</v>
      </c>
      <c r="CX10" s="539"/>
      <c r="CY10" s="540" t="s">
        <v>71</v>
      </c>
      <c r="CZ10" s="541" t="s">
        <v>71</v>
      </c>
      <c r="DA10" s="542" t="s">
        <v>71</v>
      </c>
      <c r="DB10" s="543" t="s">
        <v>71</v>
      </c>
      <c r="DC10" s="544" t="s">
        <v>71</v>
      </c>
      <c r="DD10" s="545" t="s">
        <v>71</v>
      </c>
      <c r="DE10" s="539"/>
      <c r="DF10" s="540" t="s">
        <v>71</v>
      </c>
      <c r="DG10" s="541" t="s">
        <v>71</v>
      </c>
      <c r="DH10" s="542" t="s">
        <v>71</v>
      </c>
      <c r="DI10" s="543" t="s">
        <v>71</v>
      </c>
      <c r="DJ10" s="544" t="s">
        <v>71</v>
      </c>
      <c r="DK10" s="545" t="s">
        <v>71</v>
      </c>
      <c r="DL10" s="539"/>
      <c r="DM10" s="540" t="s">
        <v>71</v>
      </c>
      <c r="DN10" s="541" t="s">
        <v>71</v>
      </c>
      <c r="DO10" s="542" t="s">
        <v>71</v>
      </c>
      <c r="DP10" s="543" t="s">
        <v>71</v>
      </c>
      <c r="DQ10" s="544" t="s">
        <v>71</v>
      </c>
      <c r="DR10" s="545" t="s">
        <v>71</v>
      </c>
      <c r="DS10" s="539"/>
      <c r="DU10" s="551">
        <f t="shared" si="86"/>
        <v>0</v>
      </c>
      <c r="DV10" s="551">
        <f t="shared" si="87"/>
        <v>3</v>
      </c>
      <c r="DW10" s="551">
        <f t="shared" si="88"/>
        <v>0</v>
      </c>
      <c r="DX10" s="551">
        <f t="shared" si="89"/>
        <v>0</v>
      </c>
      <c r="DY10" s="551">
        <f t="shared" si="90"/>
        <v>0</v>
      </c>
      <c r="EA10" s="551">
        <f t="shared" si="9"/>
        <v>0</v>
      </c>
      <c r="EB10" s="551">
        <f t="shared" si="10"/>
        <v>0</v>
      </c>
      <c r="EC10" s="551">
        <f t="shared" si="11"/>
        <v>0</v>
      </c>
      <c r="ED10" s="551">
        <f t="shared" si="12"/>
        <v>0</v>
      </c>
      <c r="EE10" s="551">
        <f t="shared" si="13"/>
        <v>0</v>
      </c>
      <c r="EF10" s="551">
        <f t="shared" si="14"/>
        <v>0</v>
      </c>
      <c r="EH10" s="551">
        <f t="shared" si="15"/>
        <v>1</v>
      </c>
      <c r="EI10" s="551">
        <f t="shared" si="16"/>
        <v>0</v>
      </c>
      <c r="EJ10" s="551">
        <f t="shared" si="17"/>
        <v>0</v>
      </c>
      <c r="EK10" s="551">
        <f t="shared" si="18"/>
        <v>2</v>
      </c>
      <c r="EL10" s="551">
        <f t="shared" si="19"/>
        <v>2</v>
      </c>
      <c r="EM10" s="551">
        <f t="shared" si="20"/>
        <v>0</v>
      </c>
      <c r="EO10" s="551">
        <f t="shared" si="21"/>
        <v>0</v>
      </c>
      <c r="EP10" s="551">
        <f t="shared" si="22"/>
        <v>0</v>
      </c>
      <c r="EQ10" s="551">
        <f t="shared" si="23"/>
        <v>0</v>
      </c>
      <c r="ER10" s="551">
        <f t="shared" si="24"/>
        <v>0</v>
      </c>
      <c r="ES10" s="551">
        <f t="shared" si="25"/>
        <v>0</v>
      </c>
      <c r="ET10" s="551">
        <f t="shared" si="26"/>
        <v>0</v>
      </c>
      <c r="EV10" s="551">
        <f t="shared" si="27"/>
        <v>0</v>
      </c>
      <c r="EW10" s="551">
        <f t="shared" si="28"/>
        <v>0</v>
      </c>
      <c r="EX10" s="551">
        <f t="shared" si="29"/>
        <v>0</v>
      </c>
      <c r="EY10" s="551">
        <f t="shared" si="30"/>
        <v>0</v>
      </c>
      <c r="EZ10" s="551">
        <f t="shared" si="31"/>
        <v>0</v>
      </c>
      <c r="FA10" s="551">
        <f t="shared" si="32"/>
        <v>0</v>
      </c>
      <c r="FC10" s="551">
        <f t="shared" si="33"/>
        <v>0</v>
      </c>
      <c r="FD10" s="551">
        <f t="shared" si="34"/>
        <v>0</v>
      </c>
      <c r="FE10" s="551">
        <f t="shared" si="35"/>
        <v>0</v>
      </c>
      <c r="FF10" s="551">
        <f t="shared" si="36"/>
        <v>0</v>
      </c>
      <c r="FG10" s="551">
        <f t="shared" si="37"/>
        <v>0</v>
      </c>
      <c r="FH10" s="551">
        <f t="shared" si="38"/>
        <v>0</v>
      </c>
      <c r="FK10" s="552">
        <f t="shared" si="39"/>
        <v>0</v>
      </c>
      <c r="FL10" s="552" t="str">
        <f t="shared" si="91"/>
        <v>Porce III</v>
      </c>
      <c r="FM10" s="552">
        <f t="shared" si="92"/>
        <v>0</v>
      </c>
      <c r="FN10" s="552">
        <f t="shared" si="93"/>
        <v>0</v>
      </c>
      <c r="FO10" s="553">
        <f t="shared" si="40"/>
        <v>0</v>
      </c>
      <c r="FQ10" s="554" t="str">
        <f t="shared" si="41"/>
        <v>Porce III</v>
      </c>
      <c r="FR10" s="552">
        <f t="shared" si="94"/>
        <v>0</v>
      </c>
      <c r="FS10" s="552">
        <f t="shared" si="95"/>
        <v>0</v>
      </c>
      <c r="FT10" s="552">
        <f t="shared" si="96"/>
        <v>0</v>
      </c>
      <c r="FU10" s="553">
        <f t="shared" si="42"/>
        <v>0</v>
      </c>
      <c r="FW10" s="548">
        <f t="shared" si="43"/>
        <v>0</v>
      </c>
      <c r="FX10" s="549" t="str">
        <f t="shared" si="97"/>
        <v>Porce III</v>
      </c>
      <c r="FY10" s="549">
        <f t="shared" si="98"/>
        <v>0</v>
      </c>
      <c r="FZ10" s="549">
        <f t="shared" si="99"/>
        <v>0</v>
      </c>
      <c r="GA10" s="550">
        <f t="shared" si="44"/>
        <v>0</v>
      </c>
    </row>
    <row r="11" spans="1:183" x14ac:dyDescent="0.35">
      <c r="A11" s="333">
        <v>1984</v>
      </c>
      <c r="B11" s="158" t="s">
        <v>136</v>
      </c>
      <c r="C11" s="158">
        <v>8</v>
      </c>
      <c r="D11" s="715" t="s">
        <v>48</v>
      </c>
      <c r="E11" s="324" t="s">
        <v>76</v>
      </c>
      <c r="F11" s="269">
        <f t="shared" si="100"/>
        <v>36</v>
      </c>
      <c r="G11" s="280">
        <f>COUNT('San Carlos - Punchiná'!D24:D38)</f>
        <v>0</v>
      </c>
      <c r="H11" s="281">
        <f>COUNT('San Carlos - Punchiná'!E24:E38)</f>
        <v>3</v>
      </c>
      <c r="I11" s="281">
        <f>COUNT('San Carlos - Punchiná'!F24:F38)</f>
        <v>4</v>
      </c>
      <c r="J11" s="281">
        <f>COUNT('San Carlos - Punchiná'!G24:G38)</f>
        <v>2</v>
      </c>
      <c r="K11" s="281">
        <f>COUNT('San Carlos - Punchiná'!H24:H38)</f>
        <v>2</v>
      </c>
      <c r="L11" s="281"/>
      <c r="M11" s="294" t="s">
        <v>56</v>
      </c>
      <c r="N11" s="282">
        <f>COUNT('San Carlos - Punchiná'!C24:C38)</f>
        <v>6</v>
      </c>
      <c r="O11" s="280">
        <v>1240</v>
      </c>
      <c r="P11" s="329">
        <v>6509.76</v>
      </c>
      <c r="Q11" s="295">
        <f>'San Carlos - Punchiná'!J30</f>
        <v>3.89</v>
      </c>
      <c r="R11" s="296">
        <f>'San Carlos - Punchiná'!J36</f>
        <v>2.0299999999999998</v>
      </c>
      <c r="S11" s="295">
        <f>'San Carlos - Punchiná'!K30</f>
        <v>49.04</v>
      </c>
      <c r="T11" s="296">
        <f>'San Carlos - Punchiná'!K36</f>
        <v>49.86</v>
      </c>
      <c r="U11" s="295">
        <f>'San Carlos - Punchiná'!L30</f>
        <v>65.78</v>
      </c>
      <c r="V11" s="296">
        <f>'San Carlos - Punchiná'!L36</f>
        <v>59.87</v>
      </c>
      <c r="W11" s="288">
        <f t="shared" si="45"/>
        <v>0.47814910025706947</v>
      </c>
      <c r="X11" s="289">
        <f t="shared" si="46"/>
        <v>-1.6721044045677005E-2</v>
      </c>
      <c r="Y11" s="290">
        <f t="shared" si="47"/>
        <v>8.984493767102468E-2</v>
      </c>
      <c r="Z11" s="367"/>
      <c r="AA11" s="376">
        <f>'San Carlos - Punchiná'!O32</f>
        <v>7.148573233652733E-2</v>
      </c>
      <c r="AB11" s="377">
        <f>'San Carlos - Punchiná'!P32</f>
        <v>-3.1515215331157219E-2</v>
      </c>
      <c r="AC11" s="380">
        <f>'San Carlos - Punchiná'!Q32</f>
        <v>0.22714014952090147</v>
      </c>
      <c r="AD11" s="386">
        <f>'San Carlos - Punchiná'!O33</f>
        <v>1.8376794945122708E-2</v>
      </c>
      <c r="AE11" s="378">
        <f>'San Carlos - Punchiná'!P33</f>
        <v>-6.4264305324545712E-4</v>
      </c>
      <c r="AF11" s="379">
        <f>'San Carlos - Punchiná'!Q33</f>
        <v>3.4530275086789523E-3</v>
      </c>
      <c r="AG11" s="367"/>
      <c r="AH11" s="367"/>
      <c r="AI11" s="376">
        <f t="shared" si="48"/>
        <v>7.148573233652733E-2</v>
      </c>
      <c r="AJ11" s="377" t="str">
        <f t="shared" si="49"/>
        <v/>
      </c>
      <c r="AK11" s="380">
        <f t="shared" si="50"/>
        <v>0.22714014952090147</v>
      </c>
      <c r="AL11" s="386">
        <f t="shared" si="51"/>
        <v>1.8376794945122708E-2</v>
      </c>
      <c r="AM11" s="378" t="str">
        <f t="shared" si="52"/>
        <v/>
      </c>
      <c r="AN11" s="379">
        <f t="shared" si="53"/>
        <v>3.4530275086789523E-3</v>
      </c>
      <c r="AO11" s="367"/>
      <c r="AP11" s="350">
        <f t="shared" ref="AP11:AP29" si="102">IF(X11&gt;0,1,0)</f>
        <v>0</v>
      </c>
      <c r="AQ11" s="368"/>
      <c r="AR11" s="277">
        <f t="shared" si="1"/>
        <v>0</v>
      </c>
      <c r="AS11" s="278">
        <f t="shared" si="55"/>
        <v>0</v>
      </c>
      <c r="AT11" s="278">
        <f t="shared" si="2"/>
        <v>0</v>
      </c>
      <c r="AU11" s="278">
        <f t="shared" si="3"/>
        <v>0</v>
      </c>
      <c r="AV11" s="279">
        <f t="shared" si="56"/>
        <v>1</v>
      </c>
      <c r="AX11" s="367"/>
      <c r="AY11" s="376" t="str">
        <f t="shared" si="57"/>
        <v/>
      </c>
      <c r="AZ11" s="377" t="str">
        <f t="shared" si="58"/>
        <v/>
      </c>
      <c r="BA11" s="380" t="str">
        <f t="shared" si="59"/>
        <v/>
      </c>
      <c r="BB11" s="386" t="str">
        <f t="shared" si="60"/>
        <v/>
      </c>
      <c r="BC11" s="378" t="str">
        <f t="shared" si="61"/>
        <v/>
      </c>
      <c r="BD11" s="379" t="str">
        <f t="shared" si="62"/>
        <v/>
      </c>
      <c r="BE11" s="367"/>
      <c r="BF11" s="367"/>
      <c r="BG11" s="376" t="str">
        <f>IF($AS11=1,AI11,"")</f>
        <v/>
      </c>
      <c r="BH11" s="377" t="str">
        <f t="shared" si="64"/>
        <v/>
      </c>
      <c r="BI11" s="380" t="str">
        <f t="shared" si="65"/>
        <v/>
      </c>
      <c r="BJ11" s="386" t="str">
        <f t="shared" si="66"/>
        <v/>
      </c>
      <c r="BK11" s="378" t="str">
        <f t="shared" si="67"/>
        <v/>
      </c>
      <c r="BL11" s="379" t="str">
        <f t="shared" si="68"/>
        <v/>
      </c>
      <c r="BM11" s="367"/>
      <c r="BN11" s="376" t="str">
        <f t="shared" si="69"/>
        <v/>
      </c>
      <c r="BO11" s="377" t="str">
        <f t="shared" si="70"/>
        <v/>
      </c>
      <c r="BP11" s="380" t="str">
        <f t="shared" si="71"/>
        <v/>
      </c>
      <c r="BQ11" s="386" t="str">
        <f t="shared" si="72"/>
        <v/>
      </c>
      <c r="BR11" s="378" t="str">
        <f t="shared" si="73"/>
        <v/>
      </c>
      <c r="BS11" s="379" t="str">
        <f t="shared" si="74"/>
        <v/>
      </c>
      <c r="BT11" s="367"/>
      <c r="BU11" s="376" t="str">
        <f t="shared" si="75"/>
        <v/>
      </c>
      <c r="BV11" s="377" t="str">
        <f t="shared" si="76"/>
        <v/>
      </c>
      <c r="BW11" s="380" t="str">
        <f t="shared" si="77"/>
        <v/>
      </c>
      <c r="BX11" s="386" t="str">
        <f t="shared" si="78"/>
        <v/>
      </c>
      <c r="BY11" s="378" t="str">
        <f t="shared" si="79"/>
        <v/>
      </c>
      <c r="BZ11" s="379" t="str">
        <f t="shared" si="80"/>
        <v/>
      </c>
      <c r="CA11" s="367"/>
      <c r="CB11" s="376">
        <f t="shared" si="101"/>
        <v>7.148573233652733E-2</v>
      </c>
      <c r="CC11" s="377">
        <f t="shared" si="81"/>
        <v>-3.1515215331157219E-2</v>
      </c>
      <c r="CD11" s="380">
        <f t="shared" si="82"/>
        <v>0.22714014952090147</v>
      </c>
      <c r="CE11" s="386">
        <f t="shared" si="83"/>
        <v>1.8376794945122708E-2</v>
      </c>
      <c r="CF11" s="378">
        <f t="shared" si="84"/>
        <v>-6.4264305324545712E-4</v>
      </c>
      <c r="CG11" s="379">
        <f t="shared" si="85"/>
        <v>3.4530275086789523E-3</v>
      </c>
      <c r="CH11" s="367"/>
      <c r="CI11" s="367"/>
      <c r="CJ11" s="376" t="s">
        <v>71</v>
      </c>
      <c r="CK11" s="377" t="s">
        <v>71</v>
      </c>
      <c r="CL11" s="380" t="s">
        <v>71</v>
      </c>
      <c r="CM11" s="386" t="s">
        <v>71</v>
      </c>
      <c r="CN11" s="378" t="s">
        <v>71</v>
      </c>
      <c r="CO11" s="379" t="s">
        <v>71</v>
      </c>
      <c r="CP11" s="367"/>
      <c r="CQ11" s="367"/>
      <c r="CR11" s="376" t="s">
        <v>71</v>
      </c>
      <c r="CS11" s="377" t="s">
        <v>71</v>
      </c>
      <c r="CT11" s="380" t="s">
        <v>71</v>
      </c>
      <c r="CU11" s="386" t="s">
        <v>71</v>
      </c>
      <c r="CV11" s="378" t="s">
        <v>71</v>
      </c>
      <c r="CW11" s="379" t="s">
        <v>71</v>
      </c>
      <c r="CX11" s="367"/>
      <c r="CY11" s="376" t="s">
        <v>71</v>
      </c>
      <c r="CZ11" s="377" t="s">
        <v>71</v>
      </c>
      <c r="DA11" s="380" t="s">
        <v>71</v>
      </c>
      <c r="DB11" s="386" t="s">
        <v>71</v>
      </c>
      <c r="DC11" s="378" t="s">
        <v>71</v>
      </c>
      <c r="DD11" s="379" t="s">
        <v>71</v>
      </c>
      <c r="DE11" s="367"/>
      <c r="DF11" s="376" t="s">
        <v>71</v>
      </c>
      <c r="DG11" s="377" t="s">
        <v>71</v>
      </c>
      <c r="DH11" s="380" t="s">
        <v>71</v>
      </c>
      <c r="DI11" s="386" t="s">
        <v>71</v>
      </c>
      <c r="DJ11" s="378" t="s">
        <v>71</v>
      </c>
      <c r="DK11" s="379" t="s">
        <v>71</v>
      </c>
      <c r="DL11" s="367"/>
      <c r="DM11" s="376">
        <v>8.4706649282920488E-2</v>
      </c>
      <c r="DN11" s="377">
        <v>3.0932203389830441E-2</v>
      </c>
      <c r="DO11" s="380">
        <v>0.33692307692307683</v>
      </c>
      <c r="DP11" s="386">
        <v>2.1775488247537399E-2</v>
      </c>
      <c r="DQ11" s="378">
        <v>6.3075455525755388E-4</v>
      </c>
      <c r="DR11" s="379">
        <v>5.1219683326706724E-3</v>
      </c>
      <c r="DS11" s="367"/>
      <c r="DU11" s="249">
        <f t="shared" si="86"/>
        <v>0</v>
      </c>
      <c r="DV11" s="249">
        <f t="shared" si="87"/>
        <v>0</v>
      </c>
      <c r="DW11" s="249">
        <f t="shared" si="88"/>
        <v>0</v>
      </c>
      <c r="DX11" s="249">
        <f t="shared" si="89"/>
        <v>0</v>
      </c>
      <c r="DY11" s="249">
        <f t="shared" si="90"/>
        <v>6</v>
      </c>
      <c r="EA11" s="249">
        <f t="shared" si="9"/>
        <v>0</v>
      </c>
      <c r="EB11" s="249">
        <f t="shared" si="10"/>
        <v>0</v>
      </c>
      <c r="EC11" s="249">
        <f t="shared" si="11"/>
        <v>0</v>
      </c>
      <c r="ED11" s="249">
        <f t="shared" si="12"/>
        <v>0</v>
      </c>
      <c r="EE11" s="249">
        <f t="shared" si="13"/>
        <v>0</v>
      </c>
      <c r="EF11" s="249">
        <f t="shared" si="14"/>
        <v>0</v>
      </c>
      <c r="EH11" s="249">
        <f t="shared" si="15"/>
        <v>0</v>
      </c>
      <c r="EI11" s="249">
        <f t="shared" si="16"/>
        <v>0</v>
      </c>
      <c r="EJ11" s="249">
        <f t="shared" si="17"/>
        <v>0</v>
      </c>
      <c r="EK11" s="249">
        <f t="shared" si="18"/>
        <v>0</v>
      </c>
      <c r="EL11" s="249">
        <f t="shared" si="19"/>
        <v>0</v>
      </c>
      <c r="EM11" s="249">
        <f t="shared" si="20"/>
        <v>0</v>
      </c>
      <c r="EO11" s="249">
        <f t="shared" si="21"/>
        <v>0</v>
      </c>
      <c r="EP11" s="249">
        <f t="shared" si="22"/>
        <v>0</v>
      </c>
      <c r="EQ11" s="249">
        <f t="shared" si="23"/>
        <v>0</v>
      </c>
      <c r="ER11" s="249">
        <f t="shared" si="24"/>
        <v>0</v>
      </c>
      <c r="ES11" s="249">
        <f t="shared" si="25"/>
        <v>0</v>
      </c>
      <c r="ET11" s="249">
        <f t="shared" si="26"/>
        <v>0</v>
      </c>
      <c r="EV11" s="249">
        <f t="shared" si="27"/>
        <v>0</v>
      </c>
      <c r="EW11" s="249">
        <f t="shared" si="28"/>
        <v>0</v>
      </c>
      <c r="EX11" s="249">
        <f t="shared" si="29"/>
        <v>0</v>
      </c>
      <c r="EY11" s="249">
        <f t="shared" si="30"/>
        <v>0</v>
      </c>
      <c r="EZ11" s="249">
        <f t="shared" si="31"/>
        <v>0</v>
      </c>
      <c r="FA11" s="249">
        <f t="shared" si="32"/>
        <v>0</v>
      </c>
      <c r="FC11" s="249">
        <f t="shared" si="33"/>
        <v>0</v>
      </c>
      <c r="FD11" s="249">
        <f t="shared" si="34"/>
        <v>3</v>
      </c>
      <c r="FE11" s="249">
        <f t="shared" si="35"/>
        <v>4</v>
      </c>
      <c r="FF11" s="249">
        <f t="shared" si="36"/>
        <v>2</v>
      </c>
      <c r="FG11" s="249">
        <f t="shared" si="37"/>
        <v>2</v>
      </c>
      <c r="FH11" s="249">
        <f t="shared" si="38"/>
        <v>0</v>
      </c>
      <c r="FK11" s="240">
        <f t="shared" si="39"/>
        <v>0</v>
      </c>
      <c r="FL11" s="240">
        <f t="shared" si="91"/>
        <v>0</v>
      </c>
      <c r="FM11" s="240" t="str">
        <f t="shared" si="92"/>
        <v>San Carlos</v>
      </c>
      <c r="FN11" s="240">
        <f t="shared" si="93"/>
        <v>0</v>
      </c>
      <c r="FO11" s="241">
        <f t="shared" si="40"/>
        <v>0</v>
      </c>
      <c r="FQ11" s="242" t="str">
        <f t="shared" si="41"/>
        <v>San Carlos</v>
      </c>
      <c r="FR11" s="240">
        <f t="shared" si="94"/>
        <v>0</v>
      </c>
      <c r="FS11" s="240">
        <f t="shared" si="95"/>
        <v>0</v>
      </c>
      <c r="FT11" s="240">
        <f t="shared" si="96"/>
        <v>0</v>
      </c>
      <c r="FU11" s="241">
        <f t="shared" si="42"/>
        <v>0</v>
      </c>
      <c r="FW11" s="277">
        <f t="shared" si="43"/>
        <v>0</v>
      </c>
      <c r="FX11" s="278">
        <f t="shared" si="97"/>
        <v>0</v>
      </c>
      <c r="FY11" s="278" t="str">
        <f t="shared" si="98"/>
        <v>San Carlos</v>
      </c>
      <c r="FZ11" s="278">
        <f t="shared" si="99"/>
        <v>0</v>
      </c>
      <c r="GA11" s="279">
        <f t="shared" si="44"/>
        <v>0</v>
      </c>
    </row>
    <row r="12" spans="1:183" x14ac:dyDescent="0.35">
      <c r="A12" s="333">
        <v>1987</v>
      </c>
      <c r="B12" s="158" t="s">
        <v>136</v>
      </c>
      <c r="C12" s="158">
        <v>9</v>
      </c>
      <c r="D12" s="716"/>
      <c r="E12" s="324" t="s">
        <v>129</v>
      </c>
      <c r="F12" s="269">
        <f t="shared" si="100"/>
        <v>33</v>
      </c>
      <c r="G12" s="280">
        <f>COUNT('Jaguas - San Lorenzo'!D24:D38)</f>
        <v>0</v>
      </c>
      <c r="H12" s="281">
        <f>COUNT('Jaguas - San Lorenzo'!E24:E38)</f>
        <v>2</v>
      </c>
      <c r="I12" s="281">
        <f>COUNT('Jaguas - San Lorenzo'!F24:F38)</f>
        <v>4</v>
      </c>
      <c r="J12" s="281">
        <f>COUNT('Jaguas - San Lorenzo'!G24:G38)</f>
        <v>1</v>
      </c>
      <c r="K12" s="281">
        <f>COUNT('Jaguas - San Lorenzo'!H24:H38)</f>
        <v>1</v>
      </c>
      <c r="L12" s="281">
        <v>3</v>
      </c>
      <c r="M12" s="294" t="s">
        <v>56</v>
      </c>
      <c r="N12" s="282">
        <f>COUNT('Jaguas - San Lorenzo'!C24:C38)</f>
        <v>5</v>
      </c>
      <c r="O12" s="280">
        <v>170</v>
      </c>
      <c r="P12" s="329">
        <v>796.19</v>
      </c>
      <c r="Q12" s="295">
        <f>'Jaguas - San Lorenzo'!J26</f>
        <v>7.98</v>
      </c>
      <c r="R12" s="296">
        <f>'Jaguas - San Lorenzo'!J30</f>
        <v>6.36</v>
      </c>
      <c r="S12" s="295">
        <f>'Jaguas - San Lorenzo'!K26</f>
        <v>157.62</v>
      </c>
      <c r="T12" s="296">
        <f>'Jaguas - San Lorenzo'!K30</f>
        <v>161.86000000000001</v>
      </c>
      <c r="U12" s="295">
        <f>'Jaguas - San Lorenzo'!L26</f>
        <v>185.51</v>
      </c>
      <c r="V12" s="296">
        <f>'Jaguas - San Lorenzo'!L30</f>
        <v>185.42</v>
      </c>
      <c r="W12" s="689">
        <f t="shared" si="45"/>
        <v>0.20300751879699247</v>
      </c>
      <c r="X12" s="289">
        <f t="shared" si="46"/>
        <v>-2.6900139576195973E-2</v>
      </c>
      <c r="Y12" s="290">
        <f t="shared" si="47"/>
        <v>4.8514904856882874E-4</v>
      </c>
      <c r="Z12" s="367"/>
      <c r="AA12" s="376">
        <f>'Jaguas - San Lorenzo'!O32</f>
        <v>7.0384478038328785E-2</v>
      </c>
      <c r="AB12" s="377">
        <f>'Jaguas - San Lorenzo'!P32</f>
        <v>-0.18421616474229299</v>
      </c>
      <c r="AC12" s="380">
        <f>'Jaguas - San Lorenzo'!Q32</f>
        <v>3.9102487799073027E-3</v>
      </c>
      <c r="AD12" s="386">
        <f>'Jaguas - San Lorenzo'!O33</f>
        <v>8.8201100298657617E-3</v>
      </c>
      <c r="AE12" s="378">
        <f>'Jaguas - San Lorenzo'!P33</f>
        <v>-1.168735977301694E-3</v>
      </c>
      <c r="AF12" s="379">
        <f>'Jaguas - San Lorenzo'!Q33</f>
        <v>2.1078371947104213E-5</v>
      </c>
      <c r="AG12" s="367"/>
      <c r="AH12" s="367"/>
      <c r="AI12" s="376">
        <f t="shared" si="48"/>
        <v>7.0384478038328785E-2</v>
      </c>
      <c r="AJ12" s="377" t="str">
        <f t="shared" si="49"/>
        <v/>
      </c>
      <c r="AK12" s="380">
        <f t="shared" si="50"/>
        <v>3.9102487799073027E-3</v>
      </c>
      <c r="AL12" s="386">
        <f t="shared" si="51"/>
        <v>8.8201100298657617E-3</v>
      </c>
      <c r="AM12" s="378" t="str">
        <f t="shared" si="52"/>
        <v/>
      </c>
      <c r="AN12" s="379">
        <f t="shared" si="53"/>
        <v>2.1078371947104213E-5</v>
      </c>
      <c r="AO12" s="367"/>
      <c r="AP12" s="350">
        <f t="shared" si="102"/>
        <v>0</v>
      </c>
      <c r="AQ12" s="368"/>
      <c r="AR12" s="277">
        <f t="shared" si="1"/>
        <v>0</v>
      </c>
      <c r="AS12" s="278">
        <f t="shared" si="55"/>
        <v>0</v>
      </c>
      <c r="AT12" s="278">
        <f t="shared" si="2"/>
        <v>0</v>
      </c>
      <c r="AU12" s="278">
        <f t="shared" si="3"/>
        <v>0</v>
      </c>
      <c r="AV12" s="279">
        <f>IF(F12&gt;30,1,0)</f>
        <v>1</v>
      </c>
      <c r="AX12" s="367"/>
      <c r="AY12" s="376" t="str">
        <f t="shared" si="57"/>
        <v/>
      </c>
      <c r="AZ12" s="377" t="str">
        <f t="shared" si="58"/>
        <v/>
      </c>
      <c r="BA12" s="380" t="str">
        <f t="shared" si="59"/>
        <v/>
      </c>
      <c r="BB12" s="386" t="str">
        <f t="shared" si="60"/>
        <v/>
      </c>
      <c r="BC12" s="378" t="str">
        <f t="shared" si="61"/>
        <v/>
      </c>
      <c r="BD12" s="379" t="str">
        <f t="shared" si="62"/>
        <v/>
      </c>
      <c r="BE12" s="367"/>
      <c r="BF12" s="367"/>
      <c r="BG12" s="376" t="str">
        <f t="shared" si="63"/>
        <v/>
      </c>
      <c r="BH12" s="377" t="str">
        <f t="shared" si="64"/>
        <v/>
      </c>
      <c r="BI12" s="380" t="str">
        <f t="shared" si="65"/>
        <v/>
      </c>
      <c r="BJ12" s="386" t="str">
        <f t="shared" si="66"/>
        <v/>
      </c>
      <c r="BK12" s="378" t="str">
        <f t="shared" si="67"/>
        <v/>
      </c>
      <c r="BL12" s="379" t="str">
        <f t="shared" si="68"/>
        <v/>
      </c>
      <c r="BM12" s="367"/>
      <c r="BN12" s="376" t="str">
        <f t="shared" si="69"/>
        <v/>
      </c>
      <c r="BO12" s="377" t="str">
        <f t="shared" si="70"/>
        <v/>
      </c>
      <c r="BP12" s="380" t="str">
        <f t="shared" si="71"/>
        <v/>
      </c>
      <c r="BQ12" s="386" t="str">
        <f t="shared" si="72"/>
        <v/>
      </c>
      <c r="BR12" s="378" t="str">
        <f t="shared" si="73"/>
        <v/>
      </c>
      <c r="BS12" s="379" t="str">
        <f t="shared" si="74"/>
        <v/>
      </c>
      <c r="BT12" s="367"/>
      <c r="BU12" s="376" t="str">
        <f t="shared" si="75"/>
        <v/>
      </c>
      <c r="BV12" s="377" t="str">
        <f t="shared" si="76"/>
        <v/>
      </c>
      <c r="BW12" s="380" t="str">
        <f t="shared" si="77"/>
        <v/>
      </c>
      <c r="BX12" s="386" t="str">
        <f t="shared" si="78"/>
        <v/>
      </c>
      <c r="BY12" s="378" t="str">
        <f t="shared" si="79"/>
        <v/>
      </c>
      <c r="BZ12" s="379" t="str">
        <f t="shared" si="80"/>
        <v/>
      </c>
      <c r="CA12" s="367"/>
      <c r="CB12" s="376">
        <f t="shared" si="101"/>
        <v>7.0384478038328785E-2</v>
      </c>
      <c r="CC12" s="377">
        <f t="shared" si="81"/>
        <v>-0.18421616474229299</v>
      </c>
      <c r="CD12" s="380">
        <f t="shared" si="82"/>
        <v>3.9102487799073027E-3</v>
      </c>
      <c r="CE12" s="386">
        <f t="shared" si="83"/>
        <v>8.8201100298657617E-3</v>
      </c>
      <c r="CF12" s="378">
        <f t="shared" si="84"/>
        <v>-1.168735977301694E-3</v>
      </c>
      <c r="CG12" s="379">
        <f t="shared" si="85"/>
        <v>2.1078371947104213E-5</v>
      </c>
      <c r="CH12" s="367"/>
      <c r="CI12" s="367"/>
      <c r="CJ12" s="376" t="s">
        <v>71</v>
      </c>
      <c r="CK12" s="377" t="s">
        <v>71</v>
      </c>
      <c r="CL12" s="380" t="s">
        <v>71</v>
      </c>
      <c r="CM12" s="386" t="s">
        <v>71</v>
      </c>
      <c r="CN12" s="378" t="s">
        <v>71</v>
      </c>
      <c r="CO12" s="379" t="s">
        <v>71</v>
      </c>
      <c r="CP12" s="367"/>
      <c r="CQ12" s="367"/>
      <c r="CR12" s="376" t="s">
        <v>71</v>
      </c>
      <c r="CS12" s="377" t="s">
        <v>71</v>
      </c>
      <c r="CT12" s="380" t="s">
        <v>71</v>
      </c>
      <c r="CU12" s="386" t="s">
        <v>71</v>
      </c>
      <c r="CV12" s="378" t="s">
        <v>71</v>
      </c>
      <c r="CW12" s="379" t="s">
        <v>71</v>
      </c>
      <c r="CX12" s="367"/>
      <c r="CY12" s="376" t="s">
        <v>71</v>
      </c>
      <c r="CZ12" s="377" t="s">
        <v>71</v>
      </c>
      <c r="DA12" s="380"/>
      <c r="DB12" s="386" t="s">
        <v>71</v>
      </c>
      <c r="DC12" s="378" t="s">
        <v>71</v>
      </c>
      <c r="DD12" s="379" t="s">
        <v>71</v>
      </c>
      <c r="DE12" s="367"/>
      <c r="DF12" s="376" t="s">
        <v>71</v>
      </c>
      <c r="DG12" s="377" t="s">
        <v>71</v>
      </c>
      <c r="DH12" s="380" t="s">
        <v>71</v>
      </c>
      <c r="DI12" s="386" t="s">
        <v>71</v>
      </c>
      <c r="DJ12" s="378" t="s">
        <v>71</v>
      </c>
      <c r="DK12" s="379" t="s">
        <v>71</v>
      </c>
      <c r="DL12" s="367"/>
      <c r="DM12" s="376">
        <v>7.0384478038328785E-2</v>
      </c>
      <c r="DN12" s="377"/>
      <c r="DO12" s="380">
        <v>3.9102487799073027E-3</v>
      </c>
      <c r="DP12" s="386">
        <v>8.8201100298657617E-3</v>
      </c>
      <c r="DQ12" s="378"/>
      <c r="DR12" s="379">
        <v>2.1078371947104213E-5</v>
      </c>
      <c r="DS12" s="367"/>
      <c r="DU12" s="249">
        <f t="shared" si="86"/>
        <v>0</v>
      </c>
      <c r="DV12" s="249">
        <f t="shared" si="87"/>
        <v>0</v>
      </c>
      <c r="DW12" s="249">
        <f t="shared" si="88"/>
        <v>0</v>
      </c>
      <c r="DX12" s="249">
        <f t="shared" si="89"/>
        <v>0</v>
      </c>
      <c r="DY12" s="249">
        <f t="shared" si="90"/>
        <v>5</v>
      </c>
      <c r="EA12" s="249">
        <f t="shared" si="9"/>
        <v>0</v>
      </c>
      <c r="EB12" s="249">
        <f t="shared" si="10"/>
        <v>0</v>
      </c>
      <c r="EC12" s="249">
        <f t="shared" si="11"/>
        <v>0</v>
      </c>
      <c r="ED12" s="249">
        <f t="shared" si="12"/>
        <v>0</v>
      </c>
      <c r="EE12" s="249">
        <f t="shared" si="13"/>
        <v>0</v>
      </c>
      <c r="EF12" s="249">
        <f t="shared" si="14"/>
        <v>0</v>
      </c>
      <c r="EH12" s="249">
        <f t="shared" si="15"/>
        <v>0</v>
      </c>
      <c r="EI12" s="249">
        <f t="shared" si="16"/>
        <v>0</v>
      </c>
      <c r="EJ12" s="249">
        <f t="shared" si="17"/>
        <v>0</v>
      </c>
      <c r="EK12" s="249">
        <f t="shared" si="18"/>
        <v>0</v>
      </c>
      <c r="EL12" s="249">
        <f t="shared" si="19"/>
        <v>0</v>
      </c>
      <c r="EM12" s="249">
        <f t="shared" si="20"/>
        <v>0</v>
      </c>
      <c r="EO12" s="249">
        <f t="shared" si="21"/>
        <v>0</v>
      </c>
      <c r="EP12" s="249">
        <f t="shared" si="22"/>
        <v>0</v>
      </c>
      <c r="EQ12" s="249">
        <f t="shared" si="23"/>
        <v>0</v>
      </c>
      <c r="ER12" s="249">
        <f t="shared" si="24"/>
        <v>0</v>
      </c>
      <c r="ES12" s="249">
        <f t="shared" si="25"/>
        <v>0</v>
      </c>
      <c r="ET12" s="249">
        <f t="shared" si="26"/>
        <v>0</v>
      </c>
      <c r="EV12" s="249">
        <f t="shared" si="27"/>
        <v>0</v>
      </c>
      <c r="EW12" s="249">
        <f t="shared" si="28"/>
        <v>0</v>
      </c>
      <c r="EX12" s="249">
        <f t="shared" si="29"/>
        <v>0</v>
      </c>
      <c r="EY12" s="249">
        <f t="shared" si="30"/>
        <v>0</v>
      </c>
      <c r="EZ12" s="249">
        <f t="shared" si="31"/>
        <v>0</v>
      </c>
      <c r="FA12" s="249">
        <f t="shared" si="32"/>
        <v>0</v>
      </c>
      <c r="FC12" s="249">
        <f t="shared" si="33"/>
        <v>0</v>
      </c>
      <c r="FD12" s="249">
        <f t="shared" si="34"/>
        <v>2</v>
      </c>
      <c r="FE12" s="249">
        <f t="shared" si="35"/>
        <v>4</v>
      </c>
      <c r="FF12" s="249">
        <f t="shared" si="36"/>
        <v>1</v>
      </c>
      <c r="FG12" s="249">
        <f t="shared" si="37"/>
        <v>1</v>
      </c>
      <c r="FH12" s="249">
        <f t="shared" si="38"/>
        <v>3</v>
      </c>
      <c r="FK12" s="240">
        <f t="shared" si="39"/>
        <v>0</v>
      </c>
      <c r="FL12" s="240">
        <f t="shared" si="91"/>
        <v>0</v>
      </c>
      <c r="FM12" s="240" t="str">
        <f t="shared" si="92"/>
        <v>Jaguas</v>
      </c>
      <c r="FN12" s="240">
        <f t="shared" si="93"/>
        <v>0</v>
      </c>
      <c r="FO12" s="241">
        <f t="shared" si="40"/>
        <v>0</v>
      </c>
      <c r="FQ12" s="242" t="str">
        <f t="shared" si="41"/>
        <v>Jaguas</v>
      </c>
      <c r="FR12" s="240">
        <f t="shared" si="94"/>
        <v>0</v>
      </c>
      <c r="FS12" s="240">
        <f t="shared" si="95"/>
        <v>0</v>
      </c>
      <c r="FT12" s="240">
        <f t="shared" si="96"/>
        <v>0</v>
      </c>
      <c r="FU12" s="241">
        <f t="shared" si="42"/>
        <v>0</v>
      </c>
      <c r="FW12" s="277">
        <f t="shared" si="43"/>
        <v>0</v>
      </c>
      <c r="FX12" s="278" t="str">
        <f t="shared" si="97"/>
        <v>Jaguas</v>
      </c>
      <c r="FY12" s="278">
        <f t="shared" si="98"/>
        <v>0</v>
      </c>
      <c r="FZ12" s="278">
        <f t="shared" si="99"/>
        <v>0</v>
      </c>
      <c r="GA12" s="279">
        <f t="shared" si="44"/>
        <v>0</v>
      </c>
    </row>
    <row r="13" spans="1:183" x14ac:dyDescent="0.35">
      <c r="A13" s="333">
        <v>2002</v>
      </c>
      <c r="B13" s="158" t="s">
        <v>136</v>
      </c>
      <c r="C13" s="158">
        <v>10</v>
      </c>
      <c r="D13" s="716"/>
      <c r="E13" s="324" t="s">
        <v>77</v>
      </c>
      <c r="F13" s="269">
        <f t="shared" si="100"/>
        <v>18</v>
      </c>
      <c r="G13" s="280">
        <f>COUNT('Miel I - Amaní'!D24:D39)</f>
        <v>0</v>
      </c>
      <c r="H13" s="281">
        <f>COUNT('Miel I - Amaní'!E24:E39)</f>
        <v>1</v>
      </c>
      <c r="I13" s="281">
        <f>COUNT('Miel I - Amaní'!F24:F39)</f>
        <v>1</v>
      </c>
      <c r="J13" s="281">
        <f>COUNT('Miel I - Amaní'!G24:G39)</f>
        <v>2</v>
      </c>
      <c r="K13" s="281">
        <f>COUNT('Miel I - Amaní'!H24:H39)</f>
        <v>2</v>
      </c>
      <c r="L13" s="281">
        <v>2</v>
      </c>
      <c r="M13" s="294" t="s">
        <v>56</v>
      </c>
      <c r="N13" s="293">
        <f>COUNT('Miel I - Amaní'!C24:C39)</f>
        <v>4</v>
      </c>
      <c r="O13" s="280">
        <v>396</v>
      </c>
      <c r="P13" s="329">
        <v>1519.08</v>
      </c>
      <c r="Q13" s="295">
        <f>'Miel I - Amaní'!J25</f>
        <v>94.99</v>
      </c>
      <c r="R13" s="296">
        <f>'Miel I - Amaní'!J27</f>
        <v>88.16</v>
      </c>
      <c r="S13" s="295">
        <f>'Miel I - Amaní'!K25</f>
        <v>444.98</v>
      </c>
      <c r="T13" s="296">
        <f>'Miel I - Amaní'!K27</f>
        <v>427.53</v>
      </c>
      <c r="U13" s="295">
        <f>'Miel I - Amaní'!L25</f>
        <v>590.62</v>
      </c>
      <c r="V13" s="296">
        <f>'Miel I - Amaní'!L27</f>
        <v>561.97</v>
      </c>
      <c r="W13" s="288">
        <f t="shared" si="45"/>
        <v>7.1902305505842701E-2</v>
      </c>
      <c r="X13" s="289">
        <f t="shared" si="46"/>
        <v>3.9215245629017133E-2</v>
      </c>
      <c r="Y13" s="290">
        <f t="shared" si="47"/>
        <v>4.8508347160610844E-2</v>
      </c>
      <c r="Z13" s="367"/>
      <c r="AA13" s="376">
        <f>'Miel I - Amaní'!O32</f>
        <v>0.62059995021160053</v>
      </c>
      <c r="AB13" s="377">
        <f>'Miel I - Amaní'!P32</f>
        <v>1.5855738113019708</v>
      </c>
      <c r="AC13" s="380">
        <f>'Miel I - Amaní'!Q32</f>
        <v>2.6032486930545162</v>
      </c>
      <c r="AD13" s="386">
        <f>'Miel I - Amaní'!O33</f>
        <v>6.5333187726244928E-3</v>
      </c>
      <c r="AE13" s="378">
        <f>'Miel I - Amaní'!P33</f>
        <v>3.5632473623577929E-3</v>
      </c>
      <c r="AF13" s="379">
        <f>'Miel I - Amaní'!Q33</f>
        <v>4.4076541482755685E-3</v>
      </c>
      <c r="AG13" s="367"/>
      <c r="AH13" s="367"/>
      <c r="AI13" s="376">
        <f t="shared" si="48"/>
        <v>0.62059995021160053</v>
      </c>
      <c r="AJ13" s="377">
        <f t="shared" si="49"/>
        <v>1.5855738113019708</v>
      </c>
      <c r="AK13" s="380">
        <f t="shared" si="50"/>
        <v>2.6032486930545162</v>
      </c>
      <c r="AL13" s="386">
        <f t="shared" si="51"/>
        <v>6.5333187726244928E-3</v>
      </c>
      <c r="AM13" s="378">
        <f t="shared" si="52"/>
        <v>3.5632473623577929E-3</v>
      </c>
      <c r="AN13" s="379">
        <f t="shared" si="53"/>
        <v>4.4076541482755685E-3</v>
      </c>
      <c r="AO13" s="367"/>
      <c r="AP13" s="350">
        <f t="shared" si="102"/>
        <v>1</v>
      </c>
      <c r="AQ13" s="368"/>
      <c r="AR13" s="277">
        <f t="shared" si="1"/>
        <v>0</v>
      </c>
      <c r="AS13" s="278">
        <f t="shared" si="55"/>
        <v>0</v>
      </c>
      <c r="AT13" s="278">
        <f t="shared" si="2"/>
        <v>1</v>
      </c>
      <c r="AU13" s="278">
        <f t="shared" si="3"/>
        <v>0</v>
      </c>
      <c r="AV13" s="279">
        <f t="shared" si="56"/>
        <v>0</v>
      </c>
      <c r="AX13" s="367"/>
      <c r="AY13" s="376" t="str">
        <f t="shared" si="57"/>
        <v/>
      </c>
      <c r="AZ13" s="377" t="str">
        <f t="shared" si="58"/>
        <v/>
      </c>
      <c r="BA13" s="380" t="str">
        <f t="shared" si="59"/>
        <v/>
      </c>
      <c r="BB13" s="386" t="str">
        <f t="shared" si="60"/>
        <v/>
      </c>
      <c r="BC13" s="378" t="str">
        <f t="shared" si="61"/>
        <v/>
      </c>
      <c r="BD13" s="379" t="str">
        <f t="shared" si="62"/>
        <v/>
      </c>
      <c r="BE13" s="367"/>
      <c r="BF13" s="367"/>
      <c r="BG13" s="376" t="str">
        <f t="shared" si="63"/>
        <v/>
      </c>
      <c r="BH13" s="377" t="str">
        <f t="shared" si="64"/>
        <v/>
      </c>
      <c r="BI13" s="380" t="str">
        <f t="shared" si="65"/>
        <v/>
      </c>
      <c r="BJ13" s="386" t="str">
        <f t="shared" si="66"/>
        <v/>
      </c>
      <c r="BK13" s="378" t="str">
        <f t="shared" si="67"/>
        <v/>
      </c>
      <c r="BL13" s="379" t="str">
        <f t="shared" si="68"/>
        <v/>
      </c>
      <c r="BM13" s="367"/>
      <c r="BN13" s="376">
        <f t="shared" si="69"/>
        <v>0.62059995021160053</v>
      </c>
      <c r="BO13" s="377">
        <f t="shared" si="70"/>
        <v>1.5855738113019708</v>
      </c>
      <c r="BP13" s="380">
        <f t="shared" si="71"/>
        <v>2.6032486930545162</v>
      </c>
      <c r="BQ13" s="386">
        <f t="shared" si="72"/>
        <v>6.5333187726244928E-3</v>
      </c>
      <c r="BR13" s="378">
        <f t="shared" si="73"/>
        <v>3.5632473623577929E-3</v>
      </c>
      <c r="BS13" s="379">
        <f t="shared" si="74"/>
        <v>4.4076541482755685E-3</v>
      </c>
      <c r="BT13" s="367"/>
      <c r="BU13" s="376" t="str">
        <f t="shared" si="75"/>
        <v/>
      </c>
      <c r="BV13" s="377" t="str">
        <f t="shared" si="76"/>
        <v/>
      </c>
      <c r="BW13" s="380" t="str">
        <f t="shared" si="77"/>
        <v/>
      </c>
      <c r="BX13" s="386" t="str">
        <f t="shared" si="78"/>
        <v/>
      </c>
      <c r="BY13" s="378" t="str">
        <f t="shared" si="79"/>
        <v/>
      </c>
      <c r="BZ13" s="379" t="str">
        <f t="shared" si="80"/>
        <v/>
      </c>
      <c r="CA13" s="367"/>
      <c r="CB13" s="376" t="str">
        <f t="shared" si="101"/>
        <v/>
      </c>
      <c r="CC13" s="377" t="str">
        <f t="shared" si="81"/>
        <v/>
      </c>
      <c r="CD13" s="380" t="str">
        <f t="shared" si="82"/>
        <v/>
      </c>
      <c r="CE13" s="386" t="str">
        <f t="shared" si="83"/>
        <v/>
      </c>
      <c r="CF13" s="378" t="str">
        <f t="shared" si="84"/>
        <v/>
      </c>
      <c r="CG13" s="379" t="str">
        <f t="shared" si="85"/>
        <v/>
      </c>
      <c r="CH13" s="367"/>
      <c r="CI13" s="367"/>
      <c r="CJ13" s="376" t="s">
        <v>71</v>
      </c>
      <c r="CK13" s="377" t="s">
        <v>71</v>
      </c>
      <c r="CL13" s="380" t="s">
        <v>71</v>
      </c>
      <c r="CM13" s="386" t="s">
        <v>71</v>
      </c>
      <c r="CN13" s="378" t="s">
        <v>71</v>
      </c>
      <c r="CO13" s="379" t="s">
        <v>71</v>
      </c>
      <c r="CP13" s="367"/>
      <c r="CQ13" s="367"/>
      <c r="CR13" s="376" t="s">
        <v>71</v>
      </c>
      <c r="CS13" s="377" t="s">
        <v>71</v>
      </c>
      <c r="CT13" s="380" t="s">
        <v>71</v>
      </c>
      <c r="CU13" s="386" t="s">
        <v>71</v>
      </c>
      <c r="CV13" s="378" t="s">
        <v>71</v>
      </c>
      <c r="CW13" s="379" t="s">
        <v>71</v>
      </c>
      <c r="CX13" s="367"/>
      <c r="CY13" s="376"/>
      <c r="CZ13" s="377">
        <v>0.27674810446503967</v>
      </c>
      <c r="DA13" s="380">
        <v>5.227464195450332E-2</v>
      </c>
      <c r="DB13" s="386"/>
      <c r="DC13" s="378">
        <v>6.2193380481154127E-4</v>
      </c>
      <c r="DD13" s="379">
        <v>8.8508079568086617E-5</v>
      </c>
      <c r="DE13" s="367"/>
      <c r="DF13" s="376" t="s">
        <v>71</v>
      </c>
      <c r="DG13" s="377" t="s">
        <v>71</v>
      </c>
      <c r="DH13" s="380" t="s">
        <v>71</v>
      </c>
      <c r="DI13" s="386" t="s">
        <v>71</v>
      </c>
      <c r="DJ13" s="378" t="s">
        <v>71</v>
      </c>
      <c r="DK13" s="379" t="s">
        <v>71</v>
      </c>
      <c r="DL13" s="367"/>
      <c r="DM13" s="376" t="s">
        <v>71</v>
      </c>
      <c r="DN13" s="377" t="s">
        <v>71</v>
      </c>
      <c r="DO13" s="380" t="s">
        <v>71</v>
      </c>
      <c r="DP13" s="386" t="s">
        <v>71</v>
      </c>
      <c r="DQ13" s="378" t="s">
        <v>71</v>
      </c>
      <c r="DR13" s="379" t="s">
        <v>71</v>
      </c>
      <c r="DS13" s="367"/>
      <c r="DU13" s="249">
        <f t="shared" si="86"/>
        <v>0</v>
      </c>
      <c r="DV13" s="249">
        <f t="shared" si="87"/>
        <v>0</v>
      </c>
      <c r="DW13" s="249">
        <f t="shared" si="88"/>
        <v>4</v>
      </c>
      <c r="DX13" s="249">
        <f t="shared" si="89"/>
        <v>0</v>
      </c>
      <c r="DY13" s="249">
        <f t="shared" si="90"/>
        <v>0</v>
      </c>
      <c r="EA13" s="249">
        <f t="shared" si="9"/>
        <v>0</v>
      </c>
      <c r="EB13" s="249">
        <f t="shared" si="10"/>
        <v>0</v>
      </c>
      <c r="EC13" s="249">
        <f t="shared" si="11"/>
        <v>0</v>
      </c>
      <c r="ED13" s="249">
        <f t="shared" si="12"/>
        <v>0</v>
      </c>
      <c r="EE13" s="249">
        <f t="shared" si="13"/>
        <v>0</v>
      </c>
      <c r="EF13" s="249">
        <f t="shared" si="14"/>
        <v>0</v>
      </c>
      <c r="EH13" s="249">
        <f t="shared" si="15"/>
        <v>0</v>
      </c>
      <c r="EI13" s="249">
        <f t="shared" si="16"/>
        <v>0</v>
      </c>
      <c r="EJ13" s="249">
        <f t="shared" si="17"/>
        <v>0</v>
      </c>
      <c r="EK13" s="249">
        <f t="shared" si="18"/>
        <v>0</v>
      </c>
      <c r="EL13" s="249">
        <f t="shared" si="19"/>
        <v>0</v>
      </c>
      <c r="EM13" s="249">
        <f t="shared" si="20"/>
        <v>0</v>
      </c>
      <c r="EO13" s="249">
        <f t="shared" si="21"/>
        <v>0</v>
      </c>
      <c r="EP13" s="249">
        <f t="shared" si="22"/>
        <v>1</v>
      </c>
      <c r="EQ13" s="249">
        <f t="shared" si="23"/>
        <v>1</v>
      </c>
      <c r="ER13" s="249">
        <f t="shared" si="24"/>
        <v>2</v>
      </c>
      <c r="ES13" s="249">
        <f t="shared" si="25"/>
        <v>2</v>
      </c>
      <c r="ET13" s="249">
        <f t="shared" si="26"/>
        <v>2</v>
      </c>
      <c r="EV13" s="249">
        <f t="shared" si="27"/>
        <v>0</v>
      </c>
      <c r="EW13" s="249">
        <f t="shared" si="28"/>
        <v>0</v>
      </c>
      <c r="EX13" s="249">
        <f t="shared" si="29"/>
        <v>0</v>
      </c>
      <c r="EY13" s="249">
        <f t="shared" si="30"/>
        <v>0</v>
      </c>
      <c r="EZ13" s="249">
        <f t="shared" si="31"/>
        <v>0</v>
      </c>
      <c r="FA13" s="249">
        <f t="shared" si="32"/>
        <v>0</v>
      </c>
      <c r="FC13" s="249">
        <f t="shared" si="33"/>
        <v>0</v>
      </c>
      <c r="FD13" s="249">
        <f t="shared" si="34"/>
        <v>0</v>
      </c>
      <c r="FE13" s="249">
        <f t="shared" si="35"/>
        <v>0</v>
      </c>
      <c r="FF13" s="249">
        <f t="shared" si="36"/>
        <v>0</v>
      </c>
      <c r="FG13" s="249">
        <f t="shared" si="37"/>
        <v>0</v>
      </c>
      <c r="FH13" s="249">
        <f t="shared" si="38"/>
        <v>0</v>
      </c>
      <c r="FK13" s="240">
        <f t="shared" si="39"/>
        <v>0</v>
      </c>
      <c r="FL13" s="240" t="str">
        <f t="shared" si="91"/>
        <v>Miel</v>
      </c>
      <c r="FM13" s="240">
        <f t="shared" si="92"/>
        <v>0</v>
      </c>
      <c r="FN13" s="240">
        <f t="shared" si="93"/>
        <v>0</v>
      </c>
      <c r="FO13" s="241">
        <f t="shared" si="40"/>
        <v>0</v>
      </c>
      <c r="FQ13" s="242">
        <f t="shared" si="41"/>
        <v>0</v>
      </c>
      <c r="FR13" s="240" t="str">
        <f t="shared" si="94"/>
        <v>Miel</v>
      </c>
      <c r="FS13" s="240">
        <f t="shared" si="95"/>
        <v>0</v>
      </c>
      <c r="FT13" s="240">
        <f t="shared" si="96"/>
        <v>0</v>
      </c>
      <c r="FU13" s="241">
        <f t="shared" si="42"/>
        <v>0</v>
      </c>
      <c r="FW13" s="277">
        <f t="shared" si="43"/>
        <v>0</v>
      </c>
      <c r="FX13" s="278" t="str">
        <f t="shared" si="97"/>
        <v>Miel</v>
      </c>
      <c r="FY13" s="278">
        <f t="shared" si="98"/>
        <v>0</v>
      </c>
      <c r="FZ13" s="278">
        <f t="shared" si="99"/>
        <v>0</v>
      </c>
      <c r="GA13" s="279">
        <f t="shared" si="44"/>
        <v>0</v>
      </c>
    </row>
    <row r="14" spans="1:183" s="479" customFormat="1" x14ac:dyDescent="0.35">
      <c r="A14" s="457">
        <v>2015</v>
      </c>
      <c r="B14" s="458" t="s">
        <v>137</v>
      </c>
      <c r="C14" s="458">
        <v>11</v>
      </c>
      <c r="D14" s="717"/>
      <c r="E14" s="459" t="s">
        <v>78</v>
      </c>
      <c r="F14" s="269">
        <f t="shared" si="100"/>
        <v>5</v>
      </c>
      <c r="G14" s="460">
        <f>COUNT('Sogamoso - Topocoro'!D24:D39)</f>
        <v>0</v>
      </c>
      <c r="H14" s="292">
        <f>COUNT('Sogamoso - Topocoro'!E24:E39)</f>
        <v>1</v>
      </c>
      <c r="I14" s="292">
        <f>COUNT('Sogamoso - Topocoro'!F24:F39)</f>
        <v>0</v>
      </c>
      <c r="J14" s="292">
        <f>COUNT('Sogamoso - Topocoro'!G24:G39)</f>
        <v>1</v>
      </c>
      <c r="K14" s="292">
        <f>COUNT('Sogamoso - Topocoro'!H24:H39)</f>
        <v>1</v>
      </c>
      <c r="L14" s="292">
        <v>1</v>
      </c>
      <c r="M14" s="521" t="s">
        <v>61</v>
      </c>
      <c r="N14" s="293">
        <f>COUNT('Sogamoso - Topocoro'!C24:C39)</f>
        <v>2</v>
      </c>
      <c r="O14" s="460">
        <v>819</v>
      </c>
      <c r="P14" s="461">
        <v>5056</v>
      </c>
      <c r="Q14" s="462">
        <f>'Sogamoso - Topocoro'!J25</f>
        <v>1487.14</v>
      </c>
      <c r="R14" s="463">
        <f>'Sogamoso - Topocoro'!J25</f>
        <v>1487.14</v>
      </c>
      <c r="S14" s="462">
        <f>'Sogamoso - Topocoro'!K25</f>
        <v>2756.31</v>
      </c>
      <c r="T14" s="463">
        <f>'Sogamoso - Topocoro'!K25</f>
        <v>2756.31</v>
      </c>
      <c r="U14" s="462">
        <f>'Sogamoso - Topocoro'!L25</f>
        <v>4825.04</v>
      </c>
      <c r="V14" s="463">
        <f>'Sogamoso - Topocoro'!L25</f>
        <v>4825.04</v>
      </c>
      <c r="W14" s="464">
        <f t="shared" si="45"/>
        <v>0</v>
      </c>
      <c r="X14" s="465">
        <f t="shared" si="46"/>
        <v>0</v>
      </c>
      <c r="Y14" s="466">
        <f t="shared" si="47"/>
        <v>0</v>
      </c>
      <c r="Z14" s="467"/>
      <c r="AA14" s="524">
        <v>0</v>
      </c>
      <c r="AB14" s="525">
        <v>0</v>
      </c>
      <c r="AC14" s="526">
        <v>0</v>
      </c>
      <c r="AD14" s="527">
        <v>0</v>
      </c>
      <c r="AE14" s="469">
        <v>0</v>
      </c>
      <c r="AF14" s="470">
        <v>0</v>
      </c>
      <c r="AG14" s="467"/>
      <c r="AH14" s="467"/>
      <c r="AI14" s="524" t="str">
        <f t="shared" si="48"/>
        <v/>
      </c>
      <c r="AJ14" s="525" t="str">
        <f t="shared" si="49"/>
        <v/>
      </c>
      <c r="AK14" s="526" t="str">
        <f t="shared" si="50"/>
        <v/>
      </c>
      <c r="AL14" s="527" t="str">
        <f t="shared" si="51"/>
        <v/>
      </c>
      <c r="AM14" s="469" t="str">
        <f t="shared" si="52"/>
        <v/>
      </c>
      <c r="AN14" s="470" t="str">
        <f t="shared" si="53"/>
        <v/>
      </c>
      <c r="AO14" s="467"/>
      <c r="AP14" s="474">
        <f t="shared" si="102"/>
        <v>0</v>
      </c>
      <c r="AQ14" s="475"/>
      <c r="AR14" s="476">
        <f t="shared" si="1"/>
        <v>1</v>
      </c>
      <c r="AS14" s="477">
        <f t="shared" si="55"/>
        <v>0</v>
      </c>
      <c r="AT14" s="477">
        <f t="shared" si="2"/>
        <v>0</v>
      </c>
      <c r="AU14" s="477">
        <f t="shared" si="3"/>
        <v>0</v>
      </c>
      <c r="AV14" s="478">
        <f t="shared" si="56"/>
        <v>0</v>
      </c>
      <c r="AX14" s="467"/>
      <c r="AY14" s="524">
        <f>IF($AR14=1,AA14,"")</f>
        <v>0</v>
      </c>
      <c r="AZ14" s="525">
        <f t="shared" si="58"/>
        <v>0</v>
      </c>
      <c r="BA14" s="526">
        <f t="shared" si="59"/>
        <v>0</v>
      </c>
      <c r="BB14" s="527">
        <f t="shared" si="60"/>
        <v>0</v>
      </c>
      <c r="BC14" s="469">
        <f t="shared" si="61"/>
        <v>0</v>
      </c>
      <c r="BD14" s="470">
        <f t="shared" si="62"/>
        <v>0</v>
      </c>
      <c r="BE14" s="467"/>
      <c r="BF14" s="467"/>
      <c r="BG14" s="524" t="str">
        <f t="shared" si="63"/>
        <v/>
      </c>
      <c r="BH14" s="525" t="str">
        <f t="shared" si="64"/>
        <v/>
      </c>
      <c r="BI14" s="526" t="str">
        <f t="shared" si="65"/>
        <v/>
      </c>
      <c r="BJ14" s="527" t="str">
        <f t="shared" si="66"/>
        <v/>
      </c>
      <c r="BK14" s="469" t="str">
        <f t="shared" si="67"/>
        <v/>
      </c>
      <c r="BL14" s="470" t="str">
        <f t="shared" si="68"/>
        <v/>
      </c>
      <c r="BM14" s="467"/>
      <c r="BN14" s="524" t="str">
        <f t="shared" ref="BN14:BN28" si="103">IF($AT14=1,AA14,"")</f>
        <v/>
      </c>
      <c r="BO14" s="525" t="str">
        <f t="shared" ref="BO14:BO28" si="104">IF($AT14=1,AB14,"")</f>
        <v/>
      </c>
      <c r="BP14" s="526" t="str">
        <f t="shared" ref="BP14:BP28" si="105">IF($AT14=1,AC14,"")</f>
        <v/>
      </c>
      <c r="BQ14" s="527" t="str">
        <f t="shared" si="72"/>
        <v/>
      </c>
      <c r="BR14" s="469" t="str">
        <f t="shared" si="73"/>
        <v/>
      </c>
      <c r="BS14" s="470" t="str">
        <f t="shared" si="74"/>
        <v/>
      </c>
      <c r="BT14" s="467"/>
      <c r="BU14" s="524" t="str">
        <f t="shared" si="75"/>
        <v/>
      </c>
      <c r="BV14" s="525" t="str">
        <f t="shared" si="76"/>
        <v/>
      </c>
      <c r="BW14" s="526" t="str">
        <f t="shared" si="77"/>
        <v/>
      </c>
      <c r="BX14" s="527" t="str">
        <f t="shared" si="78"/>
        <v/>
      </c>
      <c r="BY14" s="469" t="str">
        <f t="shared" si="79"/>
        <v/>
      </c>
      <c r="BZ14" s="470" t="str">
        <f t="shared" si="80"/>
        <v/>
      </c>
      <c r="CA14" s="467"/>
      <c r="CB14" s="524" t="str">
        <f t="shared" si="101"/>
        <v/>
      </c>
      <c r="CC14" s="525" t="str">
        <f t="shared" si="81"/>
        <v/>
      </c>
      <c r="CD14" s="526" t="str">
        <f t="shared" si="82"/>
        <v/>
      </c>
      <c r="CE14" s="527" t="str">
        <f t="shared" si="83"/>
        <v/>
      </c>
      <c r="CF14" s="469" t="str">
        <f t="shared" si="84"/>
        <v/>
      </c>
      <c r="CG14" s="470" t="str">
        <f t="shared" si="85"/>
        <v/>
      </c>
      <c r="CH14" s="467"/>
      <c r="CI14" s="467"/>
      <c r="CJ14" s="524">
        <v>0</v>
      </c>
      <c r="CK14" s="525">
        <v>0</v>
      </c>
      <c r="CL14" s="526">
        <v>0</v>
      </c>
      <c r="CM14" s="527">
        <v>0</v>
      </c>
      <c r="CN14" s="469">
        <v>0</v>
      </c>
      <c r="CO14" s="470">
        <v>0</v>
      </c>
      <c r="CP14" s="467"/>
      <c r="CQ14" s="467"/>
      <c r="CR14" s="524" t="s">
        <v>71</v>
      </c>
      <c r="CS14" s="525" t="s">
        <v>71</v>
      </c>
      <c r="CT14" s="526" t="s">
        <v>71</v>
      </c>
      <c r="CU14" s="527" t="s">
        <v>71</v>
      </c>
      <c r="CV14" s="469" t="s">
        <v>71</v>
      </c>
      <c r="CW14" s="470" t="s">
        <v>71</v>
      </c>
      <c r="CX14" s="467"/>
      <c r="CY14" s="524" t="s">
        <v>71</v>
      </c>
      <c r="CZ14" s="525" t="s">
        <v>71</v>
      </c>
      <c r="DA14" s="526" t="s">
        <v>71</v>
      </c>
      <c r="DB14" s="527" t="s">
        <v>71</v>
      </c>
      <c r="DC14" s="469" t="s">
        <v>71</v>
      </c>
      <c r="DD14" s="470" t="s">
        <v>71</v>
      </c>
      <c r="DE14" s="467"/>
      <c r="DF14" s="524" t="s">
        <v>71</v>
      </c>
      <c r="DG14" s="525" t="s">
        <v>71</v>
      </c>
      <c r="DH14" s="526" t="s">
        <v>71</v>
      </c>
      <c r="DI14" s="527" t="s">
        <v>71</v>
      </c>
      <c r="DJ14" s="469" t="s">
        <v>71</v>
      </c>
      <c r="DK14" s="470" t="s">
        <v>71</v>
      </c>
      <c r="DL14" s="467"/>
      <c r="DM14" s="524" t="s">
        <v>71</v>
      </c>
      <c r="DN14" s="525" t="s">
        <v>71</v>
      </c>
      <c r="DO14" s="526" t="s">
        <v>71</v>
      </c>
      <c r="DP14" s="527" t="s">
        <v>71</v>
      </c>
      <c r="DQ14" s="469" t="s">
        <v>71</v>
      </c>
      <c r="DR14" s="470" t="s">
        <v>71</v>
      </c>
      <c r="DS14" s="467"/>
      <c r="DU14" s="479">
        <f>IF(AR14=1,$N14,0)</f>
        <v>2</v>
      </c>
      <c r="DV14" s="479">
        <f t="shared" si="87"/>
        <v>0</v>
      </c>
      <c r="DW14" s="479">
        <f t="shared" si="88"/>
        <v>0</v>
      </c>
      <c r="DX14" s="479">
        <f t="shared" si="89"/>
        <v>0</v>
      </c>
      <c r="DY14" s="479">
        <f t="shared" si="90"/>
        <v>0</v>
      </c>
      <c r="EA14" s="479">
        <f t="shared" si="9"/>
        <v>0</v>
      </c>
      <c r="EB14" s="479">
        <f t="shared" si="10"/>
        <v>1</v>
      </c>
      <c r="EC14" s="479">
        <f t="shared" si="11"/>
        <v>0</v>
      </c>
      <c r="ED14" s="479">
        <f t="shared" si="12"/>
        <v>1</v>
      </c>
      <c r="EE14" s="479">
        <f t="shared" si="13"/>
        <v>1</v>
      </c>
      <c r="EF14" s="479">
        <f t="shared" si="14"/>
        <v>1</v>
      </c>
      <c r="EH14" s="479">
        <f t="shared" si="15"/>
        <v>0</v>
      </c>
      <c r="EI14" s="479">
        <f t="shared" si="16"/>
        <v>0</v>
      </c>
      <c r="EJ14" s="479">
        <f t="shared" si="17"/>
        <v>0</v>
      </c>
      <c r="EK14" s="479">
        <f t="shared" si="18"/>
        <v>0</v>
      </c>
      <c r="EL14" s="479">
        <f t="shared" si="19"/>
        <v>0</v>
      </c>
      <c r="EM14" s="479">
        <f t="shared" si="20"/>
        <v>0</v>
      </c>
      <c r="EO14" s="479">
        <f t="shared" si="21"/>
        <v>0</v>
      </c>
      <c r="EP14" s="479">
        <f t="shared" si="22"/>
        <v>0</v>
      </c>
      <c r="EQ14" s="479">
        <f t="shared" si="23"/>
        <v>0</v>
      </c>
      <c r="ER14" s="479">
        <f t="shared" si="24"/>
        <v>0</v>
      </c>
      <c r="ES14" s="479">
        <f t="shared" si="25"/>
        <v>0</v>
      </c>
      <c r="ET14" s="479">
        <f t="shared" si="26"/>
        <v>0</v>
      </c>
      <c r="EV14" s="479">
        <f t="shared" si="27"/>
        <v>0</v>
      </c>
      <c r="EW14" s="479">
        <f t="shared" si="28"/>
        <v>0</v>
      </c>
      <c r="EX14" s="479">
        <f t="shared" si="29"/>
        <v>0</v>
      </c>
      <c r="EY14" s="479">
        <f t="shared" si="30"/>
        <v>0</v>
      </c>
      <c r="EZ14" s="479">
        <f t="shared" si="31"/>
        <v>0</v>
      </c>
      <c r="FA14" s="479">
        <f t="shared" si="32"/>
        <v>0</v>
      </c>
      <c r="FC14" s="479">
        <f t="shared" si="33"/>
        <v>0</v>
      </c>
      <c r="FD14" s="479">
        <f t="shared" si="34"/>
        <v>0</v>
      </c>
      <c r="FE14" s="479">
        <f t="shared" si="35"/>
        <v>0</v>
      </c>
      <c r="FF14" s="479">
        <f t="shared" si="36"/>
        <v>0</v>
      </c>
      <c r="FG14" s="479">
        <f t="shared" si="37"/>
        <v>0</v>
      </c>
      <c r="FH14" s="479">
        <f t="shared" si="38"/>
        <v>0</v>
      </c>
      <c r="FK14" s="480">
        <f t="shared" si="39"/>
        <v>0</v>
      </c>
      <c r="FL14" s="480" t="str">
        <f t="shared" si="91"/>
        <v>Sogamoso</v>
      </c>
      <c r="FM14" s="480">
        <f t="shared" si="92"/>
        <v>0</v>
      </c>
      <c r="FN14" s="480">
        <f t="shared" si="93"/>
        <v>0</v>
      </c>
      <c r="FO14" s="481">
        <f t="shared" si="40"/>
        <v>0</v>
      </c>
      <c r="FQ14" s="482">
        <f t="shared" si="41"/>
        <v>0</v>
      </c>
      <c r="FR14" s="480" t="str">
        <f t="shared" si="94"/>
        <v>Sogamoso</v>
      </c>
      <c r="FS14" s="480">
        <f t="shared" si="95"/>
        <v>0</v>
      </c>
      <c r="FT14" s="480">
        <f t="shared" si="96"/>
        <v>0</v>
      </c>
      <c r="FU14" s="481">
        <f t="shared" si="42"/>
        <v>0</v>
      </c>
      <c r="FW14" s="476">
        <f t="shared" si="43"/>
        <v>0</v>
      </c>
      <c r="FX14" s="477" t="str">
        <f t="shared" si="97"/>
        <v>Sogamoso</v>
      </c>
      <c r="FY14" s="477">
        <f t="shared" si="98"/>
        <v>0</v>
      </c>
      <c r="FZ14" s="477">
        <f t="shared" si="99"/>
        <v>0</v>
      </c>
      <c r="GA14" s="478">
        <f t="shared" si="44"/>
        <v>0</v>
      </c>
    </row>
    <row r="15" spans="1:183" ht="29" x14ac:dyDescent="0.35">
      <c r="A15" s="333">
        <v>1974</v>
      </c>
      <c r="B15" s="158" t="s">
        <v>138</v>
      </c>
      <c r="C15" s="158">
        <v>12</v>
      </c>
      <c r="D15" s="715" t="s">
        <v>32</v>
      </c>
      <c r="E15" s="324" t="s">
        <v>79</v>
      </c>
      <c r="F15" s="269">
        <f t="shared" si="100"/>
        <v>46</v>
      </c>
      <c r="G15" s="280">
        <f>COUNT('ALTO ANCHICAYA'!D24:D30)</f>
        <v>0</v>
      </c>
      <c r="H15" s="281">
        <f>COUNT('ALTO ANCHICAYA'!E24:E30)</f>
        <v>1</v>
      </c>
      <c r="I15" s="281">
        <f>COUNT('ALTO ANCHICAYA'!F24:F30)</f>
        <v>1</v>
      </c>
      <c r="J15" s="281">
        <f>COUNT('ALTO ANCHICAYA'!G24:G30)</f>
        <v>2</v>
      </c>
      <c r="K15" s="281">
        <f>COUNT('ALTO ANCHICAYA'!H24:H30)</f>
        <v>1</v>
      </c>
      <c r="L15" s="281"/>
      <c r="M15" s="294"/>
      <c r="N15" s="282">
        <f>COUNT('ALTO ANCHICAYA'!C24:C30)</f>
        <v>3</v>
      </c>
      <c r="O15" s="280">
        <v>365</v>
      </c>
      <c r="P15" s="329">
        <v>2291</v>
      </c>
      <c r="Q15" s="284">
        <f>'ALTO ANCHICAYA'!J32</f>
        <v>38.619999999999997</v>
      </c>
      <c r="R15" s="285">
        <f>'ALTO ANCHICAYA'!J33</f>
        <v>37.14</v>
      </c>
      <c r="S15" s="295">
        <f>'ALTO ANCHICAYA'!K27</f>
        <v>23.5</v>
      </c>
      <c r="T15" s="296">
        <f>'ALTO ANCHICAYA'!K29</f>
        <v>31.77</v>
      </c>
      <c r="U15" s="295">
        <f>'ALTO ANCHICAYA'!L27</f>
        <v>38</v>
      </c>
      <c r="V15" s="296">
        <f>'ALTO ANCHICAYA'!L29</f>
        <v>48.2</v>
      </c>
      <c r="W15" s="288">
        <f t="shared" si="45"/>
        <v>3.8322112894873042E-2</v>
      </c>
      <c r="X15" s="289">
        <f t="shared" si="46"/>
        <v>-0.35191489361702127</v>
      </c>
      <c r="Y15" s="290">
        <f t="shared" si="47"/>
        <v>-0.268421052631579</v>
      </c>
      <c r="Z15" s="367"/>
      <c r="AA15" s="376">
        <f>'ALTO ANCHICAYA'!O32</f>
        <v>0.12000000000000011</v>
      </c>
      <c r="AB15" s="377">
        <f>'ALTO ANCHICAYA'!P32</f>
        <v>-0.63615384615384607</v>
      </c>
      <c r="AC15" s="380">
        <f>'ALTO ANCHICAYA'!Q32</f>
        <v>-0.78461538461538483</v>
      </c>
      <c r="AD15" s="386">
        <f>'ALTO ANCHICAYA'!O33</f>
        <v>1.1516314779270644E-2</v>
      </c>
      <c r="AE15" s="378">
        <f>'ALTO ANCHICAYA'!P33</f>
        <v>-2.7070376432078557E-2</v>
      </c>
      <c r="AF15" s="379">
        <f>'ALTO ANCHICAYA'!Q33</f>
        <v>-2.0647773279352234E-2</v>
      </c>
      <c r="AG15" s="367"/>
      <c r="AH15" s="367"/>
      <c r="AI15" s="376">
        <f t="shared" si="48"/>
        <v>0.12000000000000011</v>
      </c>
      <c r="AJ15" s="377" t="str">
        <f t="shared" si="49"/>
        <v/>
      </c>
      <c r="AK15" s="380" t="str">
        <f t="shared" si="50"/>
        <v/>
      </c>
      <c r="AL15" s="386">
        <f t="shared" si="51"/>
        <v>1.1516314779270644E-2</v>
      </c>
      <c r="AM15" s="378" t="str">
        <f t="shared" si="52"/>
        <v/>
      </c>
      <c r="AN15" s="379" t="str">
        <f t="shared" si="53"/>
        <v/>
      </c>
      <c r="AO15" s="367"/>
      <c r="AP15" s="350">
        <f t="shared" si="102"/>
        <v>0</v>
      </c>
      <c r="AQ15" s="368"/>
      <c r="AR15" s="277">
        <f t="shared" si="1"/>
        <v>0</v>
      </c>
      <c r="AS15" s="278">
        <f t="shared" si="55"/>
        <v>0</v>
      </c>
      <c r="AT15" s="278">
        <f t="shared" si="2"/>
        <v>0</v>
      </c>
      <c r="AU15" s="278">
        <f t="shared" si="3"/>
        <v>0</v>
      </c>
      <c r="AV15" s="279">
        <f t="shared" si="56"/>
        <v>1</v>
      </c>
      <c r="AX15" s="367"/>
      <c r="AY15" s="376" t="str">
        <f t="shared" si="57"/>
        <v/>
      </c>
      <c r="AZ15" s="377" t="str">
        <f t="shared" si="58"/>
        <v/>
      </c>
      <c r="BA15" s="380" t="str">
        <f t="shared" si="59"/>
        <v/>
      </c>
      <c r="BB15" s="386" t="str">
        <f t="shared" si="60"/>
        <v/>
      </c>
      <c r="BC15" s="378" t="str">
        <f t="shared" si="61"/>
        <v/>
      </c>
      <c r="BD15" s="379" t="str">
        <f t="shared" si="62"/>
        <v/>
      </c>
      <c r="BE15" s="367"/>
      <c r="BF15" s="367"/>
      <c r="BG15" s="376" t="str">
        <f t="shared" si="63"/>
        <v/>
      </c>
      <c r="BH15" s="377" t="str">
        <f t="shared" si="64"/>
        <v/>
      </c>
      <c r="BI15" s="380" t="str">
        <f t="shared" si="65"/>
        <v/>
      </c>
      <c r="BJ15" s="386" t="str">
        <f t="shared" si="66"/>
        <v/>
      </c>
      <c r="BK15" s="378" t="str">
        <f t="shared" si="67"/>
        <v/>
      </c>
      <c r="BL15" s="379" t="str">
        <f t="shared" si="68"/>
        <v/>
      </c>
      <c r="BM15" s="367"/>
      <c r="BN15" s="376" t="str">
        <f t="shared" si="103"/>
        <v/>
      </c>
      <c r="BO15" s="377" t="str">
        <f t="shared" si="104"/>
        <v/>
      </c>
      <c r="BP15" s="380" t="str">
        <f t="shared" si="105"/>
        <v/>
      </c>
      <c r="BQ15" s="386" t="str">
        <f t="shared" si="72"/>
        <v/>
      </c>
      <c r="BR15" s="378" t="str">
        <f t="shared" si="73"/>
        <v/>
      </c>
      <c r="BS15" s="379" t="str">
        <f t="shared" si="74"/>
        <v/>
      </c>
      <c r="BT15" s="367"/>
      <c r="BU15" s="376" t="str">
        <f t="shared" si="75"/>
        <v/>
      </c>
      <c r="BV15" s="377" t="str">
        <f t="shared" si="76"/>
        <v/>
      </c>
      <c r="BW15" s="380" t="str">
        <f t="shared" si="77"/>
        <v/>
      </c>
      <c r="BX15" s="386" t="str">
        <f t="shared" si="78"/>
        <v/>
      </c>
      <c r="BY15" s="378" t="str">
        <f t="shared" si="79"/>
        <v/>
      </c>
      <c r="BZ15" s="379" t="str">
        <f t="shared" si="80"/>
        <v/>
      </c>
      <c r="CA15" s="367"/>
      <c r="CB15" s="376">
        <f t="shared" si="101"/>
        <v>0.12000000000000011</v>
      </c>
      <c r="CC15" s="377">
        <f t="shared" si="81"/>
        <v>-0.63615384615384607</v>
      </c>
      <c r="CD15" s="380">
        <f t="shared" si="82"/>
        <v>-0.78461538461538483</v>
      </c>
      <c r="CE15" s="386">
        <f t="shared" si="83"/>
        <v>1.1516314779270644E-2</v>
      </c>
      <c r="CF15" s="378">
        <f t="shared" si="84"/>
        <v>-2.7070376432078557E-2</v>
      </c>
      <c r="CG15" s="379">
        <f t="shared" si="85"/>
        <v>-2.0647773279352234E-2</v>
      </c>
      <c r="CH15" s="367"/>
      <c r="CI15" s="367"/>
      <c r="CJ15" s="376" t="s">
        <v>71</v>
      </c>
      <c r="CK15" s="377" t="s">
        <v>71</v>
      </c>
      <c r="CL15" s="380" t="s">
        <v>71</v>
      </c>
      <c r="CM15" s="386" t="s">
        <v>71</v>
      </c>
      <c r="CN15" s="378" t="s">
        <v>71</v>
      </c>
      <c r="CO15" s="379" t="s">
        <v>71</v>
      </c>
      <c r="CP15" s="367"/>
      <c r="CQ15" s="367"/>
      <c r="CR15" s="376" t="s">
        <v>71</v>
      </c>
      <c r="CS15" s="377" t="s">
        <v>71</v>
      </c>
      <c r="CT15" s="380" t="s">
        <v>71</v>
      </c>
      <c r="CU15" s="386" t="s">
        <v>71</v>
      </c>
      <c r="CV15" s="378" t="s">
        <v>71</v>
      </c>
      <c r="CW15" s="379" t="s">
        <v>71</v>
      </c>
      <c r="CX15" s="367"/>
      <c r="CY15" s="376" t="s">
        <v>71</v>
      </c>
      <c r="CZ15" s="377" t="s">
        <v>71</v>
      </c>
      <c r="DA15" s="380" t="s">
        <v>71</v>
      </c>
      <c r="DB15" s="386" t="s">
        <v>71</v>
      </c>
      <c r="DC15" s="378" t="s">
        <v>71</v>
      </c>
      <c r="DD15" s="379" t="s">
        <v>71</v>
      </c>
      <c r="DE15" s="367"/>
      <c r="DF15" s="376" t="s">
        <v>71</v>
      </c>
      <c r="DG15" s="377" t="s">
        <v>71</v>
      </c>
      <c r="DH15" s="380" t="s">
        <v>71</v>
      </c>
      <c r="DI15" s="386" t="s">
        <v>71</v>
      </c>
      <c r="DJ15" s="378" t="s">
        <v>71</v>
      </c>
      <c r="DK15" s="379" t="s">
        <v>71</v>
      </c>
      <c r="DL15" s="367"/>
      <c r="DM15" s="376">
        <v>-6.2122393295653842E-5</v>
      </c>
      <c r="DN15" s="377">
        <v>-2.0147144806080685E-4</v>
      </c>
      <c r="DO15" s="380">
        <v>-2.3692279104338946E-4</v>
      </c>
      <c r="DP15" s="386">
        <v>-8.688446614776761E-6</v>
      </c>
      <c r="DQ15" s="378">
        <v>-8.5732531089705035E-6</v>
      </c>
      <c r="DR15" s="379">
        <v>-6.2348102906155124E-6</v>
      </c>
      <c r="DS15" s="367"/>
      <c r="DU15" s="249">
        <f t="shared" si="86"/>
        <v>0</v>
      </c>
      <c r="DV15" s="249">
        <f t="shared" si="87"/>
        <v>0</v>
      </c>
      <c r="DW15" s="249">
        <f t="shared" si="88"/>
        <v>0</v>
      </c>
      <c r="DX15" s="249">
        <f t="shared" si="89"/>
        <v>0</v>
      </c>
      <c r="DY15" s="249">
        <f t="shared" si="90"/>
        <v>3</v>
      </c>
      <c r="EA15" s="249">
        <f t="shared" si="9"/>
        <v>0</v>
      </c>
      <c r="EB15" s="249">
        <f t="shared" si="10"/>
        <v>0</v>
      </c>
      <c r="EC15" s="249">
        <f t="shared" si="11"/>
        <v>0</v>
      </c>
      <c r="ED15" s="249">
        <f t="shared" si="12"/>
        <v>0</v>
      </c>
      <c r="EE15" s="249">
        <f t="shared" si="13"/>
        <v>0</v>
      </c>
      <c r="EF15" s="249">
        <f t="shared" si="14"/>
        <v>0</v>
      </c>
      <c r="EH15" s="249">
        <f t="shared" si="15"/>
        <v>0</v>
      </c>
      <c r="EI15" s="249">
        <f t="shared" si="16"/>
        <v>0</v>
      </c>
      <c r="EJ15" s="249">
        <f t="shared" si="17"/>
        <v>0</v>
      </c>
      <c r="EK15" s="249">
        <f t="shared" si="18"/>
        <v>0</v>
      </c>
      <c r="EL15" s="249">
        <f t="shared" si="19"/>
        <v>0</v>
      </c>
      <c r="EM15" s="249">
        <f t="shared" si="20"/>
        <v>0</v>
      </c>
      <c r="EO15" s="249">
        <f t="shared" si="21"/>
        <v>0</v>
      </c>
      <c r="EP15" s="249">
        <f t="shared" si="22"/>
        <v>0</v>
      </c>
      <c r="EQ15" s="249">
        <f t="shared" si="23"/>
        <v>0</v>
      </c>
      <c r="ER15" s="249">
        <f t="shared" si="24"/>
        <v>0</v>
      </c>
      <c r="ES15" s="249">
        <f t="shared" si="25"/>
        <v>0</v>
      </c>
      <c r="ET15" s="249">
        <f t="shared" si="26"/>
        <v>0</v>
      </c>
      <c r="EV15" s="249">
        <f t="shared" si="27"/>
        <v>0</v>
      </c>
      <c r="EW15" s="249">
        <f t="shared" si="28"/>
        <v>0</v>
      </c>
      <c r="EX15" s="249">
        <f t="shared" si="29"/>
        <v>0</v>
      </c>
      <c r="EY15" s="249">
        <f t="shared" si="30"/>
        <v>0</v>
      </c>
      <c r="EZ15" s="249">
        <f t="shared" si="31"/>
        <v>0</v>
      </c>
      <c r="FA15" s="249">
        <f t="shared" si="32"/>
        <v>0</v>
      </c>
      <c r="FC15" s="249">
        <f t="shared" si="33"/>
        <v>0</v>
      </c>
      <c r="FD15" s="249">
        <f t="shared" si="34"/>
        <v>1</v>
      </c>
      <c r="FE15" s="249">
        <f t="shared" si="35"/>
        <v>1</v>
      </c>
      <c r="FF15" s="249">
        <f t="shared" si="36"/>
        <v>2</v>
      </c>
      <c r="FG15" s="249">
        <f t="shared" si="37"/>
        <v>1</v>
      </c>
      <c r="FH15" s="249">
        <f t="shared" si="38"/>
        <v>0</v>
      </c>
      <c r="FK15" s="240">
        <f t="shared" si="39"/>
        <v>0</v>
      </c>
      <c r="FL15" s="240" t="str">
        <f t="shared" si="91"/>
        <v>Alto Anchicayá</v>
      </c>
      <c r="FM15" s="240">
        <f t="shared" si="92"/>
        <v>0</v>
      </c>
      <c r="FN15" s="240">
        <f t="shared" si="93"/>
        <v>0</v>
      </c>
      <c r="FO15" s="241">
        <f t="shared" si="40"/>
        <v>0</v>
      </c>
      <c r="FQ15" s="242" t="str">
        <f t="shared" si="41"/>
        <v>Alto Anchicayá</v>
      </c>
      <c r="FR15" s="240">
        <f t="shared" si="94"/>
        <v>0</v>
      </c>
      <c r="FS15" s="240">
        <f t="shared" si="95"/>
        <v>0</v>
      </c>
      <c r="FT15" s="240">
        <f t="shared" si="96"/>
        <v>0</v>
      </c>
      <c r="FU15" s="241">
        <f t="shared" si="42"/>
        <v>0</v>
      </c>
      <c r="FW15" s="277" t="str">
        <f t="shared" si="43"/>
        <v>Alto Anchicayá</v>
      </c>
      <c r="FX15" s="278">
        <f t="shared" si="97"/>
        <v>0</v>
      </c>
      <c r="FY15" s="278">
        <f t="shared" si="98"/>
        <v>0</v>
      </c>
      <c r="FZ15" s="278">
        <f t="shared" si="99"/>
        <v>0</v>
      </c>
      <c r="GA15" s="279">
        <f t="shared" si="44"/>
        <v>0</v>
      </c>
    </row>
    <row r="16" spans="1:183" x14ac:dyDescent="0.35">
      <c r="A16" s="333">
        <v>1985</v>
      </c>
      <c r="B16" s="158" t="s">
        <v>138</v>
      </c>
      <c r="C16" s="158">
        <v>13</v>
      </c>
      <c r="D16" s="716"/>
      <c r="E16" s="324" t="s">
        <v>80</v>
      </c>
      <c r="F16" s="269">
        <f t="shared" si="100"/>
        <v>35</v>
      </c>
      <c r="G16" s="280">
        <f>COUNT(SALVAJINA!D24:D30)</f>
        <v>0</v>
      </c>
      <c r="H16" s="281">
        <f>COUNT(SALVAJINA!E24:E30)</f>
        <v>1</v>
      </c>
      <c r="I16" s="281">
        <f>COUNT(SALVAJINA!F24:F30)</f>
        <v>1</v>
      </c>
      <c r="J16" s="281">
        <f>COUNT(SALVAJINA!G24:G30)</f>
        <v>3</v>
      </c>
      <c r="K16" s="281">
        <f>COUNT(SALVAJINA!H24:H30)</f>
        <v>1</v>
      </c>
      <c r="L16" s="281"/>
      <c r="M16" s="294"/>
      <c r="N16" s="282">
        <f>COUNT(SALVAJINA!C24:C30)</f>
        <v>4</v>
      </c>
      <c r="O16" s="280">
        <v>285</v>
      </c>
      <c r="P16" s="329">
        <v>1060</v>
      </c>
      <c r="Q16" s="295">
        <f>SALVAJINA!J25</f>
        <v>68.84</v>
      </c>
      <c r="R16" s="296">
        <f>SALVAJINA!J28</f>
        <v>67.92</v>
      </c>
      <c r="S16" s="295">
        <f>SALVAJINA!K25</f>
        <v>686</v>
      </c>
      <c r="T16" s="296">
        <f>SALVAJINA!K28</f>
        <v>714.74</v>
      </c>
      <c r="U16" s="295">
        <f>SALVAJINA!L25</f>
        <v>856</v>
      </c>
      <c r="V16" s="296">
        <f>SALVAJINA!L28</f>
        <v>876.31</v>
      </c>
      <c r="W16" s="288">
        <f t="shared" si="45"/>
        <v>1.3364323067983755E-2</v>
      </c>
      <c r="X16" s="289">
        <f t="shared" si="46"/>
        <v>-4.1895043731778436E-2</v>
      </c>
      <c r="Y16" s="290">
        <f t="shared" si="47"/>
        <v>-2.3726635514018629E-2</v>
      </c>
      <c r="Z16" s="367"/>
      <c r="AA16" s="376">
        <f>SALVAJINA!O32</f>
        <v>4.1818181818181893E-2</v>
      </c>
      <c r="AB16" s="377">
        <f>SALVAJINA!P32</f>
        <v>-1.3063636363636368</v>
      </c>
      <c r="AC16" s="380">
        <f>SALVAJINA!Q32</f>
        <v>-0.92318181818181566</v>
      </c>
      <c r="AD16" s="386">
        <f>SALVAJINA!O33</f>
        <v>6.0746923036289794E-4</v>
      </c>
      <c r="AE16" s="378">
        <f>SALVAJINA!P33</f>
        <v>-1.9043201696262928E-3</v>
      </c>
      <c r="AF16" s="379">
        <f>SALVAJINA!Q33</f>
        <v>-1.0784834324553921E-3</v>
      </c>
      <c r="AG16" s="367"/>
      <c r="AH16" s="367"/>
      <c r="AI16" s="376">
        <f t="shared" si="48"/>
        <v>4.1818181818181893E-2</v>
      </c>
      <c r="AJ16" s="377" t="str">
        <f t="shared" si="49"/>
        <v/>
      </c>
      <c r="AK16" s="380" t="str">
        <f t="shared" si="50"/>
        <v/>
      </c>
      <c r="AL16" s="386">
        <f t="shared" si="51"/>
        <v>6.0746923036289794E-4</v>
      </c>
      <c r="AM16" s="378" t="str">
        <f t="shared" si="52"/>
        <v/>
      </c>
      <c r="AN16" s="379" t="str">
        <f t="shared" si="53"/>
        <v/>
      </c>
      <c r="AO16" s="367"/>
      <c r="AP16" s="350">
        <f t="shared" si="102"/>
        <v>0</v>
      </c>
      <c r="AQ16" s="368"/>
      <c r="AR16" s="277">
        <f t="shared" si="1"/>
        <v>0</v>
      </c>
      <c r="AS16" s="278">
        <f t="shared" si="55"/>
        <v>0</v>
      </c>
      <c r="AT16" s="278">
        <f t="shared" si="2"/>
        <v>0</v>
      </c>
      <c r="AU16" s="278">
        <f t="shared" si="3"/>
        <v>0</v>
      </c>
      <c r="AV16" s="279">
        <f t="shared" si="56"/>
        <v>1</v>
      </c>
      <c r="AX16" s="367"/>
      <c r="AY16" s="376" t="str">
        <f t="shared" si="57"/>
        <v/>
      </c>
      <c r="AZ16" s="377" t="str">
        <f t="shared" si="58"/>
        <v/>
      </c>
      <c r="BA16" s="380" t="str">
        <f t="shared" si="59"/>
        <v/>
      </c>
      <c r="BB16" s="386" t="str">
        <f t="shared" si="60"/>
        <v/>
      </c>
      <c r="BC16" s="378" t="str">
        <f t="shared" si="61"/>
        <v/>
      </c>
      <c r="BD16" s="379" t="str">
        <f t="shared" si="62"/>
        <v/>
      </c>
      <c r="BE16" s="367"/>
      <c r="BF16" s="367"/>
      <c r="BG16" s="376" t="str">
        <f t="shared" si="63"/>
        <v/>
      </c>
      <c r="BH16" s="377" t="str">
        <f t="shared" si="64"/>
        <v/>
      </c>
      <c r="BI16" s="380" t="str">
        <f t="shared" si="65"/>
        <v/>
      </c>
      <c r="BJ16" s="386" t="str">
        <f t="shared" si="66"/>
        <v/>
      </c>
      <c r="BK16" s="378" t="str">
        <f t="shared" si="67"/>
        <v/>
      </c>
      <c r="BL16" s="379" t="str">
        <f t="shared" si="68"/>
        <v/>
      </c>
      <c r="BM16" s="367"/>
      <c r="BN16" s="376" t="str">
        <f t="shared" si="103"/>
        <v/>
      </c>
      <c r="BO16" s="377" t="str">
        <f t="shared" si="104"/>
        <v/>
      </c>
      <c r="BP16" s="380" t="str">
        <f t="shared" si="105"/>
        <v/>
      </c>
      <c r="BQ16" s="386" t="str">
        <f t="shared" si="72"/>
        <v/>
      </c>
      <c r="BR16" s="378" t="str">
        <f t="shared" si="73"/>
        <v/>
      </c>
      <c r="BS16" s="379" t="str">
        <f t="shared" si="74"/>
        <v/>
      </c>
      <c r="BT16" s="367"/>
      <c r="BU16" s="376" t="str">
        <f t="shared" si="75"/>
        <v/>
      </c>
      <c r="BV16" s="377" t="str">
        <f t="shared" si="76"/>
        <v/>
      </c>
      <c r="BW16" s="380" t="str">
        <f t="shared" si="77"/>
        <v/>
      </c>
      <c r="BX16" s="386" t="str">
        <f t="shared" si="78"/>
        <v/>
      </c>
      <c r="BY16" s="378" t="str">
        <f t="shared" si="79"/>
        <v/>
      </c>
      <c r="BZ16" s="379" t="str">
        <f t="shared" si="80"/>
        <v/>
      </c>
      <c r="CA16" s="367"/>
      <c r="CB16" s="376">
        <f t="shared" si="101"/>
        <v>4.1818181818181893E-2</v>
      </c>
      <c r="CC16" s="377">
        <f t="shared" si="81"/>
        <v>-1.3063636363636368</v>
      </c>
      <c r="CD16" s="380">
        <f t="shared" si="82"/>
        <v>-0.92318181818181566</v>
      </c>
      <c r="CE16" s="386">
        <f t="shared" si="83"/>
        <v>6.0746923036289794E-4</v>
      </c>
      <c r="CF16" s="378">
        <f t="shared" si="84"/>
        <v>-1.9043201696262928E-3</v>
      </c>
      <c r="CG16" s="379">
        <f t="shared" si="85"/>
        <v>-1.0784834324553921E-3</v>
      </c>
      <c r="CH16" s="367"/>
      <c r="CI16" s="367"/>
      <c r="CJ16" s="376" t="s">
        <v>71</v>
      </c>
      <c r="CK16" s="377" t="s">
        <v>71</v>
      </c>
      <c r="CL16" s="380" t="s">
        <v>71</v>
      </c>
      <c r="CM16" s="386" t="s">
        <v>71</v>
      </c>
      <c r="CN16" s="378" t="s">
        <v>71</v>
      </c>
      <c r="CO16" s="379" t="s">
        <v>71</v>
      </c>
      <c r="CP16" s="367"/>
      <c r="CQ16" s="367"/>
      <c r="CR16" s="376" t="s">
        <v>71</v>
      </c>
      <c r="CS16" s="377" t="s">
        <v>71</v>
      </c>
      <c r="CT16" s="380" t="s">
        <v>71</v>
      </c>
      <c r="CU16" s="386" t="s">
        <v>71</v>
      </c>
      <c r="CV16" s="378" t="s">
        <v>71</v>
      </c>
      <c r="CW16" s="379" t="s">
        <v>71</v>
      </c>
      <c r="CX16" s="367"/>
      <c r="CY16" s="376" t="s">
        <v>71</v>
      </c>
      <c r="CZ16" s="377" t="s">
        <v>71</v>
      </c>
      <c r="DA16" s="380" t="s">
        <v>71</v>
      </c>
      <c r="DB16" s="386" t="s">
        <v>71</v>
      </c>
      <c r="DC16" s="378" t="s">
        <v>71</v>
      </c>
      <c r="DD16" s="379" t="s">
        <v>71</v>
      </c>
      <c r="DE16" s="367"/>
      <c r="DF16" s="376" t="s">
        <v>71</v>
      </c>
      <c r="DG16" s="377" t="s">
        <v>71</v>
      </c>
      <c r="DH16" s="380" t="s">
        <v>71</v>
      </c>
      <c r="DI16" s="386" t="s">
        <v>71</v>
      </c>
      <c r="DJ16" s="378" t="s">
        <v>71</v>
      </c>
      <c r="DK16" s="379" t="s">
        <v>71</v>
      </c>
      <c r="DL16" s="367"/>
      <c r="DM16" s="376">
        <v>4.1818181818181893E-2</v>
      </c>
      <c r="DN16" s="377"/>
      <c r="DO16" s="380"/>
      <c r="DP16" s="386">
        <v>6.0746923036289794E-4</v>
      </c>
      <c r="DQ16" s="378"/>
      <c r="DR16" s="379"/>
      <c r="DS16" s="367"/>
      <c r="DU16" s="249">
        <f t="shared" si="86"/>
        <v>0</v>
      </c>
      <c r="DV16" s="249">
        <f t="shared" si="87"/>
        <v>0</v>
      </c>
      <c r="DW16" s="249">
        <f t="shared" si="88"/>
        <v>0</v>
      </c>
      <c r="DX16" s="249">
        <f t="shared" si="89"/>
        <v>0</v>
      </c>
      <c r="DY16" s="249">
        <f t="shared" si="90"/>
        <v>4</v>
      </c>
      <c r="EA16" s="249">
        <f t="shared" si="9"/>
        <v>0</v>
      </c>
      <c r="EB16" s="249">
        <f t="shared" si="10"/>
        <v>0</v>
      </c>
      <c r="EC16" s="249">
        <f t="shared" si="11"/>
        <v>0</v>
      </c>
      <c r="ED16" s="249">
        <f t="shared" si="12"/>
        <v>0</v>
      </c>
      <c r="EE16" s="249">
        <f t="shared" si="13"/>
        <v>0</v>
      </c>
      <c r="EF16" s="249">
        <f t="shared" si="14"/>
        <v>0</v>
      </c>
      <c r="EH16" s="249">
        <f t="shared" si="15"/>
        <v>0</v>
      </c>
      <c r="EI16" s="249">
        <f t="shared" si="16"/>
        <v>0</v>
      </c>
      <c r="EJ16" s="249">
        <f t="shared" si="17"/>
        <v>0</v>
      </c>
      <c r="EK16" s="249">
        <f t="shared" si="18"/>
        <v>0</v>
      </c>
      <c r="EL16" s="249">
        <f t="shared" si="19"/>
        <v>0</v>
      </c>
      <c r="EM16" s="249">
        <f t="shared" si="20"/>
        <v>0</v>
      </c>
      <c r="EO16" s="249">
        <f t="shared" si="21"/>
        <v>0</v>
      </c>
      <c r="EP16" s="249">
        <f t="shared" si="22"/>
        <v>0</v>
      </c>
      <c r="EQ16" s="249">
        <f t="shared" si="23"/>
        <v>0</v>
      </c>
      <c r="ER16" s="249">
        <f t="shared" si="24"/>
        <v>0</v>
      </c>
      <c r="ES16" s="249">
        <f t="shared" si="25"/>
        <v>0</v>
      </c>
      <c r="ET16" s="249">
        <f t="shared" si="26"/>
        <v>0</v>
      </c>
      <c r="EV16" s="249">
        <f t="shared" si="27"/>
        <v>0</v>
      </c>
      <c r="EW16" s="249">
        <f t="shared" si="28"/>
        <v>0</v>
      </c>
      <c r="EX16" s="249">
        <f t="shared" si="29"/>
        <v>0</v>
      </c>
      <c r="EY16" s="249">
        <f t="shared" si="30"/>
        <v>0</v>
      </c>
      <c r="EZ16" s="249">
        <f t="shared" si="31"/>
        <v>0</v>
      </c>
      <c r="FA16" s="249">
        <f t="shared" si="32"/>
        <v>0</v>
      </c>
      <c r="FC16" s="249">
        <f t="shared" si="33"/>
        <v>0</v>
      </c>
      <c r="FD16" s="249">
        <f t="shared" si="34"/>
        <v>1</v>
      </c>
      <c r="FE16" s="249">
        <f t="shared" si="35"/>
        <v>1</v>
      </c>
      <c r="FF16" s="249">
        <f t="shared" si="36"/>
        <v>3</v>
      </c>
      <c r="FG16" s="249">
        <f t="shared" si="37"/>
        <v>1</v>
      </c>
      <c r="FH16" s="249">
        <f t="shared" si="38"/>
        <v>0</v>
      </c>
      <c r="FK16" s="240">
        <f t="shared" si="39"/>
        <v>0</v>
      </c>
      <c r="FL16" s="240" t="str">
        <f t="shared" si="91"/>
        <v>Salvajina</v>
      </c>
      <c r="FM16" s="240">
        <f t="shared" si="92"/>
        <v>0</v>
      </c>
      <c r="FN16" s="240">
        <f t="shared" si="93"/>
        <v>0</v>
      </c>
      <c r="FO16" s="241">
        <f t="shared" si="40"/>
        <v>0</v>
      </c>
      <c r="FQ16" s="242" t="str">
        <f t="shared" si="41"/>
        <v>Salvajina</v>
      </c>
      <c r="FR16" s="240">
        <f t="shared" si="94"/>
        <v>0</v>
      </c>
      <c r="FS16" s="240">
        <f t="shared" si="95"/>
        <v>0</v>
      </c>
      <c r="FT16" s="240">
        <f t="shared" si="96"/>
        <v>0</v>
      </c>
      <c r="FU16" s="241">
        <f t="shared" si="42"/>
        <v>0</v>
      </c>
      <c r="FW16" s="277" t="str">
        <f t="shared" si="43"/>
        <v>Salvajina</v>
      </c>
      <c r="FX16" s="278">
        <f t="shared" si="97"/>
        <v>0</v>
      </c>
      <c r="FY16" s="278">
        <f t="shared" si="98"/>
        <v>0</v>
      </c>
      <c r="FZ16" s="278">
        <f t="shared" si="99"/>
        <v>0</v>
      </c>
      <c r="GA16" s="279">
        <f t="shared" si="44"/>
        <v>0</v>
      </c>
    </row>
    <row r="17" spans="1:183" x14ac:dyDescent="0.35">
      <c r="A17" s="333">
        <v>1965</v>
      </c>
      <c r="B17" s="158" t="s">
        <v>138</v>
      </c>
      <c r="C17" s="158">
        <v>14</v>
      </c>
      <c r="D17" s="716"/>
      <c r="E17" s="324" t="s">
        <v>81</v>
      </c>
      <c r="F17" s="269">
        <f t="shared" si="100"/>
        <v>55</v>
      </c>
      <c r="G17" s="280">
        <f>COUNT(CALIMA!D24:D28)</f>
        <v>0</v>
      </c>
      <c r="H17" s="281">
        <f>COUNT(CALIMA!E24:E28)</f>
        <v>1</v>
      </c>
      <c r="I17" s="281">
        <f>COUNT(CALIMA!F24:F28)</f>
        <v>0</v>
      </c>
      <c r="J17" s="281">
        <f>COUNT(CALIMA!G24:G28)</f>
        <v>3</v>
      </c>
      <c r="K17" s="281">
        <f>COUNT(CALIMA!H24:H28)</f>
        <v>1</v>
      </c>
      <c r="L17" s="281"/>
      <c r="M17" s="294"/>
      <c r="N17" s="282">
        <f>COUNT(CALIMA!C24:C28)</f>
        <v>3</v>
      </c>
      <c r="O17" s="280">
        <v>132</v>
      </c>
      <c r="P17" s="329">
        <v>160</v>
      </c>
      <c r="Q17" s="295">
        <f>CALIMA!J25</f>
        <v>16.25</v>
      </c>
      <c r="R17" s="296">
        <f>CALIMA!J27</f>
        <v>16.97</v>
      </c>
      <c r="S17" s="295">
        <f>CALIMA!K25</f>
        <v>437.5</v>
      </c>
      <c r="T17" s="296">
        <f>CALIMA!K27</f>
        <v>424.66</v>
      </c>
      <c r="U17" s="295">
        <f>CALIMA!L25</f>
        <v>581</v>
      </c>
      <c r="V17" s="296">
        <f>CALIMA!L27</f>
        <v>547.15</v>
      </c>
      <c r="W17" s="288">
        <f t="shared" si="45"/>
        <v>-4.4307692307692235E-2</v>
      </c>
      <c r="X17" s="289">
        <f t="shared" si="46"/>
        <v>2.934857142857137E-2</v>
      </c>
      <c r="Y17" s="290">
        <f t="shared" si="47"/>
        <v>5.8261617900172154E-2</v>
      </c>
      <c r="Z17" s="367"/>
      <c r="AA17" s="376">
        <f>CALIMA!O32</f>
        <v>-5.5384615384615296E-2</v>
      </c>
      <c r="AB17" s="377">
        <f>CALIMA!P32</f>
        <v>0.98769230769230576</v>
      </c>
      <c r="AC17" s="380">
        <f>CALIMA!Q32</f>
        <v>2.6038461538461557</v>
      </c>
      <c r="AD17" s="386">
        <f>CALIMA!O33</f>
        <v>-3.4082840236686336E-3</v>
      </c>
      <c r="AE17" s="378">
        <f>CALIMA!P33</f>
        <v>2.2575824175824133E-3</v>
      </c>
      <c r="AF17" s="379">
        <f>CALIMA!Q33</f>
        <v>4.4816629153978582E-3</v>
      </c>
      <c r="AG17" s="367"/>
      <c r="AH17" s="367"/>
      <c r="AI17" s="376" t="str">
        <f t="shared" si="48"/>
        <v/>
      </c>
      <c r="AJ17" s="377">
        <f t="shared" si="49"/>
        <v>0.98769230769230576</v>
      </c>
      <c r="AK17" s="380">
        <f t="shared" si="50"/>
        <v>2.6038461538461557</v>
      </c>
      <c r="AL17" s="386" t="str">
        <f t="shared" si="51"/>
        <v/>
      </c>
      <c r="AM17" s="378">
        <f t="shared" si="52"/>
        <v>2.2575824175824133E-3</v>
      </c>
      <c r="AN17" s="379">
        <f t="shared" si="53"/>
        <v>4.4816629153978582E-3</v>
      </c>
      <c r="AO17" s="367"/>
      <c r="AP17" s="350">
        <f t="shared" si="102"/>
        <v>1</v>
      </c>
      <c r="AQ17" s="368"/>
      <c r="AR17" s="277">
        <f t="shared" si="1"/>
        <v>0</v>
      </c>
      <c r="AS17" s="278">
        <f t="shared" si="55"/>
        <v>0</v>
      </c>
      <c r="AT17" s="278">
        <f t="shared" si="2"/>
        <v>0</v>
      </c>
      <c r="AU17" s="278">
        <f t="shared" si="3"/>
        <v>0</v>
      </c>
      <c r="AV17" s="279">
        <f t="shared" si="56"/>
        <v>1</v>
      </c>
      <c r="AX17" s="367"/>
      <c r="AY17" s="376" t="str">
        <f t="shared" si="57"/>
        <v/>
      </c>
      <c r="AZ17" s="377" t="str">
        <f t="shared" si="58"/>
        <v/>
      </c>
      <c r="BA17" s="380" t="str">
        <f t="shared" si="59"/>
        <v/>
      </c>
      <c r="BB17" s="386" t="str">
        <f t="shared" si="60"/>
        <v/>
      </c>
      <c r="BC17" s="378" t="str">
        <f t="shared" si="61"/>
        <v/>
      </c>
      <c r="BD17" s="379" t="str">
        <f t="shared" si="62"/>
        <v/>
      </c>
      <c r="BE17" s="367"/>
      <c r="BF17" s="367"/>
      <c r="BG17" s="376" t="str">
        <f t="shared" si="63"/>
        <v/>
      </c>
      <c r="BH17" s="377" t="str">
        <f t="shared" si="64"/>
        <v/>
      </c>
      <c r="BI17" s="380" t="str">
        <f t="shared" si="65"/>
        <v/>
      </c>
      <c r="BJ17" s="386" t="str">
        <f t="shared" si="66"/>
        <v/>
      </c>
      <c r="BK17" s="378" t="str">
        <f t="shared" si="67"/>
        <v/>
      </c>
      <c r="BL17" s="379" t="str">
        <f t="shared" si="68"/>
        <v/>
      </c>
      <c r="BM17" s="367"/>
      <c r="BN17" s="376" t="str">
        <f t="shared" si="103"/>
        <v/>
      </c>
      <c r="BO17" s="377" t="str">
        <f t="shared" si="104"/>
        <v/>
      </c>
      <c r="BP17" s="380" t="str">
        <f t="shared" si="105"/>
        <v/>
      </c>
      <c r="BQ17" s="386" t="str">
        <f t="shared" si="72"/>
        <v/>
      </c>
      <c r="BR17" s="378" t="str">
        <f t="shared" si="73"/>
        <v/>
      </c>
      <c r="BS17" s="379" t="str">
        <f t="shared" si="74"/>
        <v/>
      </c>
      <c r="BT17" s="367"/>
      <c r="BU17" s="376" t="str">
        <f t="shared" si="75"/>
        <v/>
      </c>
      <c r="BV17" s="377" t="str">
        <f t="shared" si="76"/>
        <v/>
      </c>
      <c r="BW17" s="380" t="str">
        <f t="shared" si="77"/>
        <v/>
      </c>
      <c r="BX17" s="386" t="str">
        <f t="shared" si="78"/>
        <v/>
      </c>
      <c r="BY17" s="378" t="str">
        <f t="shared" si="79"/>
        <v/>
      </c>
      <c r="BZ17" s="379" t="str">
        <f t="shared" si="80"/>
        <v/>
      </c>
      <c r="CA17" s="367"/>
      <c r="CB17" s="376">
        <f t="shared" si="101"/>
        <v>-5.5384615384615296E-2</v>
      </c>
      <c r="CC17" s="377">
        <f t="shared" si="81"/>
        <v>0.98769230769230576</v>
      </c>
      <c r="CD17" s="380">
        <f t="shared" si="82"/>
        <v>2.6038461538461557</v>
      </c>
      <c r="CE17" s="386">
        <f t="shared" si="83"/>
        <v>-3.4082840236686336E-3</v>
      </c>
      <c r="CF17" s="378">
        <f t="shared" si="84"/>
        <v>2.2575824175824133E-3</v>
      </c>
      <c r="CG17" s="379">
        <f t="shared" si="85"/>
        <v>4.4816629153978582E-3</v>
      </c>
      <c r="CH17" s="367"/>
      <c r="CI17" s="367"/>
      <c r="CJ17" s="376" t="s">
        <v>71</v>
      </c>
      <c r="CK17" s="377" t="s">
        <v>71</v>
      </c>
      <c r="CL17" s="380" t="s">
        <v>71</v>
      </c>
      <c r="CM17" s="386" t="s">
        <v>71</v>
      </c>
      <c r="CN17" s="378" t="s">
        <v>71</v>
      </c>
      <c r="CO17" s="379" t="s">
        <v>71</v>
      </c>
      <c r="CP17" s="367"/>
      <c r="CQ17" s="367"/>
      <c r="CR17" s="376" t="s">
        <v>71</v>
      </c>
      <c r="CS17" s="377" t="s">
        <v>71</v>
      </c>
      <c r="CT17" s="380" t="s">
        <v>71</v>
      </c>
      <c r="CU17" s="386" t="s">
        <v>71</v>
      </c>
      <c r="CV17" s="378" t="s">
        <v>71</v>
      </c>
      <c r="CW17" s="379" t="s">
        <v>71</v>
      </c>
      <c r="CX17" s="367"/>
      <c r="CY17" s="376" t="s">
        <v>71</v>
      </c>
      <c r="CZ17" s="377" t="s">
        <v>71</v>
      </c>
      <c r="DA17" s="380" t="s">
        <v>71</v>
      </c>
      <c r="DB17" s="386" t="s">
        <v>71</v>
      </c>
      <c r="DC17" s="378" t="s">
        <v>71</v>
      </c>
      <c r="DD17" s="379" t="s">
        <v>71</v>
      </c>
      <c r="DE17" s="367"/>
      <c r="DF17" s="376" t="s">
        <v>71</v>
      </c>
      <c r="DG17" s="377" t="s">
        <v>71</v>
      </c>
      <c r="DH17" s="380" t="s">
        <v>71</v>
      </c>
      <c r="DI17" s="386" t="s">
        <v>71</v>
      </c>
      <c r="DJ17" s="378" t="s">
        <v>71</v>
      </c>
      <c r="DK17" s="379" t="s">
        <v>71</v>
      </c>
      <c r="DL17" s="367"/>
      <c r="DM17" s="376"/>
      <c r="DN17" s="377">
        <v>0.98769230769230576</v>
      </c>
      <c r="DO17" s="380">
        <v>2.6038461538461557</v>
      </c>
      <c r="DP17" s="386"/>
      <c r="DQ17" s="378">
        <v>2.2575824175824133E-3</v>
      </c>
      <c r="DR17" s="379">
        <v>4.4816629153978582E-3</v>
      </c>
      <c r="DS17" s="367"/>
      <c r="DU17" s="249">
        <f t="shared" si="86"/>
        <v>0</v>
      </c>
      <c r="DV17" s="249">
        <f t="shared" si="87"/>
        <v>0</v>
      </c>
      <c r="DW17" s="249">
        <f t="shared" si="88"/>
        <v>0</v>
      </c>
      <c r="DX17" s="249">
        <f t="shared" si="89"/>
        <v>0</v>
      </c>
      <c r="DY17" s="249">
        <f t="shared" si="90"/>
        <v>3</v>
      </c>
      <c r="EA17" s="249">
        <f t="shared" si="9"/>
        <v>0</v>
      </c>
      <c r="EB17" s="249">
        <f t="shared" si="10"/>
        <v>0</v>
      </c>
      <c r="EC17" s="249">
        <f t="shared" si="11"/>
        <v>0</v>
      </c>
      <c r="ED17" s="249">
        <f t="shared" si="12"/>
        <v>0</v>
      </c>
      <c r="EE17" s="249">
        <f t="shared" si="13"/>
        <v>0</v>
      </c>
      <c r="EF17" s="249">
        <f t="shared" si="14"/>
        <v>0</v>
      </c>
      <c r="EH17" s="249">
        <f t="shared" si="15"/>
        <v>0</v>
      </c>
      <c r="EI17" s="249">
        <f t="shared" si="16"/>
        <v>0</v>
      </c>
      <c r="EJ17" s="249">
        <f t="shared" si="17"/>
        <v>0</v>
      </c>
      <c r="EK17" s="249">
        <f t="shared" si="18"/>
        <v>0</v>
      </c>
      <c r="EL17" s="249">
        <f t="shared" si="19"/>
        <v>0</v>
      </c>
      <c r="EM17" s="249">
        <f t="shared" si="20"/>
        <v>0</v>
      </c>
      <c r="EO17" s="249">
        <f t="shared" si="21"/>
        <v>0</v>
      </c>
      <c r="EP17" s="249">
        <f t="shared" si="22"/>
        <v>0</v>
      </c>
      <c r="EQ17" s="249">
        <f t="shared" si="23"/>
        <v>0</v>
      </c>
      <c r="ER17" s="249">
        <f t="shared" si="24"/>
        <v>0</v>
      </c>
      <c r="ES17" s="249">
        <f t="shared" si="25"/>
        <v>0</v>
      </c>
      <c r="ET17" s="249">
        <f t="shared" si="26"/>
        <v>0</v>
      </c>
      <c r="EV17" s="249">
        <f t="shared" si="27"/>
        <v>0</v>
      </c>
      <c r="EW17" s="249">
        <f t="shared" si="28"/>
        <v>0</v>
      </c>
      <c r="EX17" s="249">
        <f t="shared" si="29"/>
        <v>0</v>
      </c>
      <c r="EY17" s="249">
        <f t="shared" si="30"/>
        <v>0</v>
      </c>
      <c r="EZ17" s="249">
        <f t="shared" si="31"/>
        <v>0</v>
      </c>
      <c r="FA17" s="249">
        <f t="shared" si="32"/>
        <v>0</v>
      </c>
      <c r="FC17" s="249">
        <f t="shared" si="33"/>
        <v>0</v>
      </c>
      <c r="FD17" s="249">
        <f t="shared" si="34"/>
        <v>1</v>
      </c>
      <c r="FE17" s="249">
        <f t="shared" si="35"/>
        <v>0</v>
      </c>
      <c r="FF17" s="249">
        <f t="shared" si="36"/>
        <v>3</v>
      </c>
      <c r="FG17" s="249">
        <f t="shared" si="37"/>
        <v>1</v>
      </c>
      <c r="FH17" s="249">
        <f t="shared" si="38"/>
        <v>0</v>
      </c>
      <c r="FK17" s="240" t="str">
        <f t="shared" si="39"/>
        <v>Calima</v>
      </c>
      <c r="FL17" s="240">
        <f t="shared" si="91"/>
        <v>0</v>
      </c>
      <c r="FM17" s="240">
        <f t="shared" si="92"/>
        <v>0</v>
      </c>
      <c r="FN17" s="240">
        <f t="shared" si="93"/>
        <v>0</v>
      </c>
      <c r="FO17" s="241">
        <f t="shared" si="40"/>
        <v>0</v>
      </c>
      <c r="FQ17" s="242">
        <f t="shared" si="41"/>
        <v>0</v>
      </c>
      <c r="FR17" s="240" t="str">
        <f t="shared" si="94"/>
        <v>Calima</v>
      </c>
      <c r="FS17" s="240">
        <f t="shared" si="95"/>
        <v>0</v>
      </c>
      <c r="FT17" s="240">
        <f t="shared" si="96"/>
        <v>0</v>
      </c>
      <c r="FU17" s="241">
        <f t="shared" si="42"/>
        <v>0</v>
      </c>
      <c r="FW17" s="277">
        <f t="shared" si="43"/>
        <v>0</v>
      </c>
      <c r="FX17" s="278">
        <f t="shared" si="97"/>
        <v>0</v>
      </c>
      <c r="FY17" s="278" t="str">
        <f t="shared" si="98"/>
        <v>Calima</v>
      </c>
      <c r="FZ17" s="278">
        <f t="shared" si="99"/>
        <v>0</v>
      </c>
      <c r="GA17" s="279">
        <f t="shared" si="44"/>
        <v>0</v>
      </c>
    </row>
    <row r="18" spans="1:183" x14ac:dyDescent="0.35">
      <c r="A18" s="333">
        <v>1973</v>
      </c>
      <c r="B18" s="158" t="s">
        <v>137</v>
      </c>
      <c r="C18" s="158">
        <v>15</v>
      </c>
      <c r="D18" s="717"/>
      <c r="E18" s="324" t="s">
        <v>82</v>
      </c>
      <c r="F18" s="269">
        <f t="shared" si="100"/>
        <v>47</v>
      </c>
      <c r="G18" s="280">
        <f>COUNT(PRADO!D24:D37)</f>
        <v>0</v>
      </c>
      <c r="H18" s="281">
        <f>COUNT(PRADO!E24:E37)</f>
        <v>1</v>
      </c>
      <c r="I18" s="281">
        <f>COUNT(PRADO!F24:F37)</f>
        <v>2</v>
      </c>
      <c r="J18" s="281">
        <f>COUNT(PRADO!G24:G37)</f>
        <v>2</v>
      </c>
      <c r="K18" s="281">
        <f>COUNT(PRADO!H24:H37)</f>
        <v>2</v>
      </c>
      <c r="L18" s="281"/>
      <c r="M18" s="294"/>
      <c r="N18" s="282">
        <f>COUNT(PRADO!C24:C37)</f>
        <v>4</v>
      </c>
      <c r="O18" s="280">
        <v>51</v>
      </c>
      <c r="P18" s="329">
        <v>203.3</v>
      </c>
      <c r="Q18" s="295">
        <f>PRADO!J25</f>
        <v>222.5</v>
      </c>
      <c r="R18" s="296">
        <f>PRADO!J28</f>
        <v>253.1</v>
      </c>
      <c r="S18" s="295">
        <f>PRADO!K25</f>
        <v>443</v>
      </c>
      <c r="T18" s="296">
        <f>PRADO!K28</f>
        <v>427.22</v>
      </c>
      <c r="U18" s="295">
        <f>PRADO!L25</f>
        <v>975</v>
      </c>
      <c r="V18" s="296">
        <f>PRADO!L28</f>
        <v>1011.11</v>
      </c>
      <c r="W18" s="288">
        <f t="shared" si="45"/>
        <v>-0.13752808988764043</v>
      </c>
      <c r="X18" s="289">
        <f t="shared" si="46"/>
        <v>3.5620767494356595E-2</v>
      </c>
      <c r="Y18" s="290">
        <f t="shared" si="47"/>
        <v>-3.7035897435897448E-2</v>
      </c>
      <c r="Z18" s="367"/>
      <c r="AA18" s="376">
        <f>PRADO!O32</f>
        <v>-2.1857142857142855</v>
      </c>
      <c r="AB18" s="377">
        <f>PRADO!P32</f>
        <v>1.1271428571428552</v>
      </c>
      <c r="AC18" s="380">
        <f>PRADO!Q32</f>
        <v>-2.5792857142857151</v>
      </c>
      <c r="AD18" s="386">
        <f>PRADO!O33</f>
        <v>-9.8234349919743176E-3</v>
      </c>
      <c r="AE18" s="378">
        <f>PRADO!P33</f>
        <v>2.5443405353111855E-3</v>
      </c>
      <c r="AF18" s="379">
        <f>PRADO!Q33</f>
        <v>-2.6454212454212461E-3</v>
      </c>
      <c r="AG18" s="367"/>
      <c r="AH18" s="367"/>
      <c r="AI18" s="376" t="str">
        <f t="shared" si="48"/>
        <v/>
      </c>
      <c r="AJ18" s="377">
        <f t="shared" si="49"/>
        <v>1.1271428571428552</v>
      </c>
      <c r="AK18" s="380" t="str">
        <f t="shared" si="50"/>
        <v/>
      </c>
      <c r="AL18" s="386" t="str">
        <f t="shared" si="51"/>
        <v/>
      </c>
      <c r="AM18" s="378">
        <f t="shared" si="52"/>
        <v>2.5443405353111855E-3</v>
      </c>
      <c r="AN18" s="379" t="str">
        <f t="shared" si="53"/>
        <v/>
      </c>
      <c r="AO18" s="367"/>
      <c r="AP18" s="350">
        <f t="shared" si="102"/>
        <v>1</v>
      </c>
      <c r="AQ18" s="368"/>
      <c r="AR18" s="277">
        <f t="shared" si="1"/>
        <v>0</v>
      </c>
      <c r="AS18" s="278">
        <f t="shared" si="55"/>
        <v>0</v>
      </c>
      <c r="AT18" s="278">
        <f t="shared" si="2"/>
        <v>0</v>
      </c>
      <c r="AU18" s="278">
        <f t="shared" si="3"/>
        <v>0</v>
      </c>
      <c r="AV18" s="279">
        <f t="shared" si="56"/>
        <v>1</v>
      </c>
      <c r="AX18" s="367"/>
      <c r="AY18" s="376" t="str">
        <f t="shared" si="57"/>
        <v/>
      </c>
      <c r="AZ18" s="377" t="str">
        <f t="shared" si="58"/>
        <v/>
      </c>
      <c r="BA18" s="380" t="str">
        <f t="shared" si="59"/>
        <v/>
      </c>
      <c r="BB18" s="386" t="str">
        <f t="shared" si="60"/>
        <v/>
      </c>
      <c r="BC18" s="378" t="str">
        <f t="shared" si="61"/>
        <v/>
      </c>
      <c r="BD18" s="379" t="str">
        <f t="shared" si="62"/>
        <v/>
      </c>
      <c r="BE18" s="367"/>
      <c r="BF18" s="367"/>
      <c r="BG18" s="376" t="str">
        <f t="shared" si="63"/>
        <v/>
      </c>
      <c r="BH18" s="377" t="str">
        <f t="shared" si="64"/>
        <v/>
      </c>
      <c r="BI18" s="380" t="str">
        <f t="shared" si="65"/>
        <v/>
      </c>
      <c r="BJ18" s="386" t="str">
        <f t="shared" si="66"/>
        <v/>
      </c>
      <c r="BK18" s="378" t="str">
        <f t="shared" si="67"/>
        <v/>
      </c>
      <c r="BL18" s="379" t="str">
        <f t="shared" si="68"/>
        <v/>
      </c>
      <c r="BM18" s="367"/>
      <c r="BN18" s="376" t="str">
        <f t="shared" si="103"/>
        <v/>
      </c>
      <c r="BO18" s="377" t="str">
        <f t="shared" si="104"/>
        <v/>
      </c>
      <c r="BP18" s="380" t="str">
        <f t="shared" si="105"/>
        <v/>
      </c>
      <c r="BQ18" s="386" t="str">
        <f t="shared" si="72"/>
        <v/>
      </c>
      <c r="BR18" s="378" t="str">
        <f t="shared" si="73"/>
        <v/>
      </c>
      <c r="BS18" s="379" t="str">
        <f t="shared" si="74"/>
        <v/>
      </c>
      <c r="BT18" s="367"/>
      <c r="BU18" s="376" t="str">
        <f t="shared" si="75"/>
        <v/>
      </c>
      <c r="BV18" s="377" t="str">
        <f t="shared" si="76"/>
        <v/>
      </c>
      <c r="BW18" s="380" t="str">
        <f t="shared" si="77"/>
        <v/>
      </c>
      <c r="BX18" s="386" t="str">
        <f t="shared" si="78"/>
        <v/>
      </c>
      <c r="BY18" s="378" t="str">
        <f t="shared" si="79"/>
        <v/>
      </c>
      <c r="BZ18" s="379" t="str">
        <f t="shared" si="80"/>
        <v/>
      </c>
      <c r="CA18" s="367"/>
      <c r="CB18" s="376">
        <f t="shared" si="101"/>
        <v>-2.1857142857142855</v>
      </c>
      <c r="CC18" s="377">
        <f t="shared" si="81"/>
        <v>1.1271428571428552</v>
      </c>
      <c r="CD18" s="380">
        <f t="shared" si="82"/>
        <v>-2.5792857142857151</v>
      </c>
      <c r="CE18" s="386">
        <f t="shared" si="83"/>
        <v>-9.8234349919743176E-3</v>
      </c>
      <c r="CF18" s="378">
        <f t="shared" si="84"/>
        <v>2.5443405353111855E-3</v>
      </c>
      <c r="CG18" s="379">
        <f t="shared" si="85"/>
        <v>-2.6454212454212461E-3</v>
      </c>
      <c r="CH18" s="367"/>
      <c r="CI18" s="367"/>
      <c r="CJ18" s="376" t="s">
        <v>71</v>
      </c>
      <c r="CK18" s="377" t="s">
        <v>71</v>
      </c>
      <c r="CL18" s="380" t="s">
        <v>71</v>
      </c>
      <c r="CM18" s="386" t="s">
        <v>71</v>
      </c>
      <c r="CN18" s="378" t="s">
        <v>71</v>
      </c>
      <c r="CO18" s="379" t="s">
        <v>71</v>
      </c>
      <c r="CP18" s="367"/>
      <c r="CQ18" s="367"/>
      <c r="CR18" s="376" t="s">
        <v>71</v>
      </c>
      <c r="CS18" s="377" t="s">
        <v>71</v>
      </c>
      <c r="CT18" s="380" t="s">
        <v>71</v>
      </c>
      <c r="CU18" s="386" t="s">
        <v>71</v>
      </c>
      <c r="CV18" s="378" t="s">
        <v>71</v>
      </c>
      <c r="CW18" s="379" t="s">
        <v>71</v>
      </c>
      <c r="CX18" s="367"/>
      <c r="CY18" s="376" t="s">
        <v>71</v>
      </c>
      <c r="CZ18" s="377" t="s">
        <v>71</v>
      </c>
      <c r="DA18" s="380" t="s">
        <v>71</v>
      </c>
      <c r="DB18" s="386" t="s">
        <v>71</v>
      </c>
      <c r="DC18" s="378" t="s">
        <v>71</v>
      </c>
      <c r="DD18" s="379" t="s">
        <v>71</v>
      </c>
      <c r="DE18" s="367"/>
      <c r="DF18" s="376" t="s">
        <v>71</v>
      </c>
      <c r="DG18" s="377" t="s">
        <v>71</v>
      </c>
      <c r="DH18" s="380" t="s">
        <v>71</v>
      </c>
      <c r="DI18" s="386" t="s">
        <v>71</v>
      </c>
      <c r="DJ18" s="378" t="s">
        <v>71</v>
      </c>
      <c r="DK18" s="379" t="s">
        <v>71</v>
      </c>
      <c r="DL18" s="367"/>
      <c r="DM18" s="376">
        <v>2.2622222222222237</v>
      </c>
      <c r="DN18" s="377">
        <v>2.4811111111111095</v>
      </c>
      <c r="DO18" s="380"/>
      <c r="DP18" s="386">
        <v>1.0167290886392016E-2</v>
      </c>
      <c r="DQ18" s="378">
        <v>5.6007022824178547E-3</v>
      </c>
      <c r="DR18" s="379"/>
      <c r="DS18" s="367"/>
      <c r="DU18" s="249">
        <f t="shared" si="86"/>
        <v>0</v>
      </c>
      <c r="DV18" s="249">
        <f t="shared" si="87"/>
        <v>0</v>
      </c>
      <c r="DW18" s="249">
        <f t="shared" si="88"/>
        <v>0</v>
      </c>
      <c r="DX18" s="249">
        <f t="shared" si="89"/>
        <v>0</v>
      </c>
      <c r="DY18" s="249">
        <f t="shared" si="90"/>
        <v>4</v>
      </c>
      <c r="EA18" s="249">
        <f t="shared" si="9"/>
        <v>0</v>
      </c>
      <c r="EB18" s="249">
        <f t="shared" si="10"/>
        <v>0</v>
      </c>
      <c r="EC18" s="249">
        <f t="shared" si="11"/>
        <v>0</v>
      </c>
      <c r="ED18" s="249">
        <f t="shared" si="12"/>
        <v>0</v>
      </c>
      <c r="EE18" s="249">
        <f t="shared" si="13"/>
        <v>0</v>
      </c>
      <c r="EF18" s="249">
        <f t="shared" si="14"/>
        <v>0</v>
      </c>
      <c r="EH18" s="249">
        <f t="shared" si="15"/>
        <v>0</v>
      </c>
      <c r="EI18" s="249">
        <f t="shared" si="16"/>
        <v>0</v>
      </c>
      <c r="EJ18" s="249">
        <f t="shared" si="17"/>
        <v>0</v>
      </c>
      <c r="EK18" s="249">
        <f t="shared" si="18"/>
        <v>0</v>
      </c>
      <c r="EL18" s="249">
        <f t="shared" si="19"/>
        <v>0</v>
      </c>
      <c r="EM18" s="249">
        <f t="shared" si="20"/>
        <v>0</v>
      </c>
      <c r="EO18" s="249">
        <f t="shared" si="21"/>
        <v>0</v>
      </c>
      <c r="EP18" s="249">
        <f t="shared" si="22"/>
        <v>0</v>
      </c>
      <c r="EQ18" s="249">
        <f t="shared" si="23"/>
        <v>0</v>
      </c>
      <c r="ER18" s="249">
        <f t="shared" si="24"/>
        <v>0</v>
      </c>
      <c r="ES18" s="249">
        <f t="shared" si="25"/>
        <v>0</v>
      </c>
      <c r="ET18" s="249">
        <f t="shared" si="26"/>
        <v>0</v>
      </c>
      <c r="EV18" s="249">
        <f t="shared" si="27"/>
        <v>0</v>
      </c>
      <c r="EW18" s="249">
        <f t="shared" si="28"/>
        <v>0</v>
      </c>
      <c r="EX18" s="249">
        <f t="shared" si="29"/>
        <v>0</v>
      </c>
      <c r="EY18" s="249">
        <f t="shared" si="30"/>
        <v>0</v>
      </c>
      <c r="EZ18" s="249">
        <f t="shared" si="31"/>
        <v>0</v>
      </c>
      <c r="FA18" s="249">
        <f t="shared" si="32"/>
        <v>0</v>
      </c>
      <c r="FC18" s="249">
        <f t="shared" si="33"/>
        <v>0</v>
      </c>
      <c r="FD18" s="249">
        <f t="shared" si="34"/>
        <v>1</v>
      </c>
      <c r="FE18" s="249">
        <f t="shared" si="35"/>
        <v>2</v>
      </c>
      <c r="FF18" s="249">
        <f t="shared" si="36"/>
        <v>2</v>
      </c>
      <c r="FG18" s="249">
        <f t="shared" si="37"/>
        <v>2</v>
      </c>
      <c r="FH18" s="249">
        <f t="shared" si="38"/>
        <v>0</v>
      </c>
      <c r="FK18" s="240" t="str">
        <f t="shared" si="39"/>
        <v>Prado</v>
      </c>
      <c r="FL18" s="240">
        <f t="shared" si="91"/>
        <v>0</v>
      </c>
      <c r="FM18" s="240">
        <f t="shared" si="92"/>
        <v>0</v>
      </c>
      <c r="FN18" s="240">
        <f t="shared" si="93"/>
        <v>0</v>
      </c>
      <c r="FO18" s="241">
        <f t="shared" si="40"/>
        <v>0</v>
      </c>
      <c r="FQ18" s="242">
        <f t="shared" si="41"/>
        <v>0</v>
      </c>
      <c r="FR18" s="240" t="str">
        <f t="shared" si="94"/>
        <v>Prado</v>
      </c>
      <c r="FS18" s="240">
        <f t="shared" si="95"/>
        <v>0</v>
      </c>
      <c r="FT18" s="240">
        <f t="shared" si="96"/>
        <v>0</v>
      </c>
      <c r="FU18" s="241">
        <f t="shared" si="42"/>
        <v>0</v>
      </c>
      <c r="FW18" s="277" t="str">
        <f t="shared" si="43"/>
        <v>Prado</v>
      </c>
      <c r="FX18" s="278">
        <f t="shared" si="97"/>
        <v>0</v>
      </c>
      <c r="FY18" s="278">
        <f t="shared" si="98"/>
        <v>0</v>
      </c>
      <c r="FZ18" s="278">
        <f t="shared" si="99"/>
        <v>0</v>
      </c>
      <c r="GA18" s="279">
        <f t="shared" si="44"/>
        <v>0</v>
      </c>
    </row>
    <row r="19" spans="1:183" x14ac:dyDescent="0.35">
      <c r="A19" s="333">
        <v>1993</v>
      </c>
      <c r="B19" s="158" t="s">
        <v>139</v>
      </c>
      <c r="C19" s="158">
        <v>16</v>
      </c>
      <c r="D19" s="715" t="s">
        <v>66</v>
      </c>
      <c r="E19" s="324" t="s">
        <v>83</v>
      </c>
      <c r="F19" s="269">
        <f t="shared" si="100"/>
        <v>27</v>
      </c>
      <c r="G19" s="280">
        <f>COUNT(GUAVIO!D24:D38)</f>
        <v>0</v>
      </c>
      <c r="H19" s="281">
        <f>COUNT(GUAVIO!E24:E38)</f>
        <v>2</v>
      </c>
      <c r="I19" s="281">
        <f>COUNT(GUAVIO!F24:F38)</f>
        <v>2</v>
      </c>
      <c r="J19" s="281">
        <f>COUNT(GUAVIO!G24:G38)</f>
        <v>1</v>
      </c>
      <c r="K19" s="281">
        <f>COUNT(GUAVIO!H24:H38)</f>
        <v>1</v>
      </c>
      <c r="L19" s="281"/>
      <c r="M19" s="294"/>
      <c r="N19" s="282">
        <f>COUNT(GUAVIO!C24:C38)</f>
        <v>3</v>
      </c>
      <c r="O19" s="280">
        <v>1250</v>
      </c>
      <c r="P19" s="329">
        <v>5508</v>
      </c>
      <c r="Q19" s="295">
        <f>GUAVIO!J24</f>
        <v>52.11</v>
      </c>
      <c r="R19" s="296">
        <f>GUAVIO!J26</f>
        <v>22.69</v>
      </c>
      <c r="S19" s="295">
        <f>GUAVIO!K24</f>
        <v>774.11</v>
      </c>
      <c r="T19" s="296">
        <f>GUAVIO!K26</f>
        <v>764.34</v>
      </c>
      <c r="U19" s="295">
        <f>GUAVIO!L24</f>
        <v>847.22</v>
      </c>
      <c r="V19" s="296">
        <f>GUAVIO!L26</f>
        <v>804.74</v>
      </c>
      <c r="W19" s="288">
        <f t="shared" si="45"/>
        <v>0.56457493763193245</v>
      </c>
      <c r="X19" s="289">
        <f t="shared" si="46"/>
        <v>1.2620945343684983E-2</v>
      </c>
      <c r="Y19" s="290">
        <f t="shared" si="47"/>
        <v>5.0140459384811521E-2</v>
      </c>
      <c r="Z19" s="367"/>
      <c r="AA19" s="376">
        <f>GUAVIO!O32</f>
        <v>2.1014285714285714</v>
      </c>
      <c r="AB19" s="377">
        <f>GUAVIO!P32</f>
        <v>0.69785714285714151</v>
      </c>
      <c r="AC19" s="380">
        <f>GUAVIO!Q32</f>
        <v>3.0342857142857156</v>
      </c>
      <c r="AD19" s="386">
        <f>GUAVIO!O33</f>
        <v>4.0326781259423745E-2</v>
      </c>
      <c r="AE19" s="378">
        <f>GUAVIO!P33</f>
        <v>9.0149609597749863E-4</v>
      </c>
      <c r="AF19" s="379">
        <f>GUAVIO!Q33</f>
        <v>3.5814613846293945E-3</v>
      </c>
      <c r="AG19" s="367"/>
      <c r="AH19" s="367"/>
      <c r="AI19" s="376">
        <f t="shared" si="48"/>
        <v>2.1014285714285714</v>
      </c>
      <c r="AJ19" s="377">
        <f t="shared" si="49"/>
        <v>0.69785714285714151</v>
      </c>
      <c r="AK19" s="380">
        <f t="shared" si="50"/>
        <v>3.0342857142857156</v>
      </c>
      <c r="AL19" s="386">
        <f t="shared" si="51"/>
        <v>4.0326781259423745E-2</v>
      </c>
      <c r="AM19" s="378">
        <f t="shared" si="52"/>
        <v>9.0149609597749863E-4</v>
      </c>
      <c r="AN19" s="379">
        <f t="shared" si="53"/>
        <v>3.5814613846293945E-3</v>
      </c>
      <c r="AO19" s="367"/>
      <c r="AP19" s="350">
        <f t="shared" si="102"/>
        <v>1</v>
      </c>
      <c r="AQ19" s="368"/>
      <c r="AR19" s="277">
        <f t="shared" si="1"/>
        <v>0</v>
      </c>
      <c r="AS19" s="278">
        <f t="shared" si="55"/>
        <v>0</v>
      </c>
      <c r="AT19" s="278">
        <f t="shared" si="2"/>
        <v>0</v>
      </c>
      <c r="AU19" s="278">
        <f t="shared" si="3"/>
        <v>1</v>
      </c>
      <c r="AV19" s="279">
        <f t="shared" si="56"/>
        <v>0</v>
      </c>
      <c r="AX19" s="367"/>
      <c r="AY19" s="376" t="str">
        <f t="shared" si="57"/>
        <v/>
      </c>
      <c r="AZ19" s="377" t="str">
        <f t="shared" si="58"/>
        <v/>
      </c>
      <c r="BA19" s="380" t="str">
        <f t="shared" si="59"/>
        <v/>
      </c>
      <c r="BB19" s="386" t="str">
        <f t="shared" si="60"/>
        <v/>
      </c>
      <c r="BC19" s="378" t="str">
        <f t="shared" si="61"/>
        <v/>
      </c>
      <c r="BD19" s="379" t="str">
        <f t="shared" si="62"/>
        <v/>
      </c>
      <c r="BE19" s="367"/>
      <c r="BF19" s="367"/>
      <c r="BG19" s="376" t="str">
        <f t="shared" si="63"/>
        <v/>
      </c>
      <c r="BH19" s="377" t="str">
        <f t="shared" si="64"/>
        <v/>
      </c>
      <c r="BI19" s="380" t="str">
        <f t="shared" si="65"/>
        <v/>
      </c>
      <c r="BJ19" s="386" t="str">
        <f t="shared" si="66"/>
        <v/>
      </c>
      <c r="BK19" s="378" t="str">
        <f t="shared" si="67"/>
        <v/>
      </c>
      <c r="BL19" s="379" t="str">
        <f t="shared" si="68"/>
        <v/>
      </c>
      <c r="BM19" s="367"/>
      <c r="BN19" s="376" t="str">
        <f t="shared" si="103"/>
        <v/>
      </c>
      <c r="BO19" s="377" t="str">
        <f t="shared" si="104"/>
        <v/>
      </c>
      <c r="BP19" s="380" t="str">
        <f t="shared" si="105"/>
        <v/>
      </c>
      <c r="BQ19" s="386" t="str">
        <f t="shared" si="72"/>
        <v/>
      </c>
      <c r="BR19" s="378" t="str">
        <f t="shared" si="73"/>
        <v/>
      </c>
      <c r="BS19" s="379" t="str">
        <f t="shared" si="74"/>
        <v/>
      </c>
      <c r="BT19" s="367"/>
      <c r="BU19" s="376">
        <f t="shared" si="75"/>
        <v>2.1014285714285714</v>
      </c>
      <c r="BV19" s="377">
        <f t="shared" si="76"/>
        <v>0.69785714285714151</v>
      </c>
      <c r="BW19" s="380">
        <f t="shared" si="77"/>
        <v>3.0342857142857156</v>
      </c>
      <c r="BX19" s="386">
        <f t="shared" si="78"/>
        <v>4.0326781259423745E-2</v>
      </c>
      <c r="BY19" s="378">
        <f t="shared" si="79"/>
        <v>9.0149609597749863E-4</v>
      </c>
      <c r="BZ19" s="379">
        <f t="shared" si="80"/>
        <v>3.5814613846293945E-3</v>
      </c>
      <c r="CA19" s="367"/>
      <c r="CB19" s="376" t="str">
        <f t="shared" si="101"/>
        <v/>
      </c>
      <c r="CC19" s="377" t="str">
        <f t="shared" si="81"/>
        <v/>
      </c>
      <c r="CD19" s="380" t="str">
        <f t="shared" si="82"/>
        <v/>
      </c>
      <c r="CE19" s="386" t="str">
        <f t="shared" si="83"/>
        <v/>
      </c>
      <c r="CF19" s="378" t="str">
        <f t="shared" si="84"/>
        <v/>
      </c>
      <c r="CG19" s="379" t="str">
        <f t="shared" si="85"/>
        <v/>
      </c>
      <c r="CH19" s="367"/>
      <c r="CI19" s="367"/>
      <c r="CJ19" s="376" t="s">
        <v>71</v>
      </c>
      <c r="CK19" s="377" t="s">
        <v>71</v>
      </c>
      <c r="CL19" s="380" t="s">
        <v>71</v>
      </c>
      <c r="CM19" s="386" t="s">
        <v>71</v>
      </c>
      <c r="CN19" s="378" t="s">
        <v>71</v>
      </c>
      <c r="CO19" s="379" t="s">
        <v>71</v>
      </c>
      <c r="CP19" s="367"/>
      <c r="CQ19" s="367"/>
      <c r="CR19" s="376" t="s">
        <v>71</v>
      </c>
      <c r="CS19" s="377" t="s">
        <v>71</v>
      </c>
      <c r="CT19" s="380" t="s">
        <v>71</v>
      </c>
      <c r="CU19" s="386" t="s">
        <v>71</v>
      </c>
      <c r="CV19" s="378" t="s">
        <v>71</v>
      </c>
      <c r="CW19" s="379" t="s">
        <v>71</v>
      </c>
      <c r="CX19" s="367"/>
      <c r="CY19" s="376" t="s">
        <v>71</v>
      </c>
      <c r="CZ19" s="377" t="s">
        <v>71</v>
      </c>
      <c r="DA19" s="380" t="s">
        <v>71</v>
      </c>
      <c r="DB19" s="386" t="s">
        <v>71</v>
      </c>
      <c r="DC19" s="378" t="s">
        <v>71</v>
      </c>
      <c r="DD19" s="379" t="s">
        <v>71</v>
      </c>
      <c r="DE19" s="367"/>
      <c r="DF19" s="376">
        <v>2.1014285714285714</v>
      </c>
      <c r="DG19" s="377">
        <v>0.69785714285714151</v>
      </c>
      <c r="DH19" s="380">
        <v>3.0342857142857156</v>
      </c>
      <c r="DI19" s="386">
        <v>4.0326781259423745E-2</v>
      </c>
      <c r="DJ19" s="378">
        <v>9.0149609597749863E-4</v>
      </c>
      <c r="DK19" s="379">
        <v>3.5814613846293945E-3</v>
      </c>
      <c r="DL19" s="367"/>
      <c r="DM19" s="376" t="s">
        <v>71</v>
      </c>
      <c r="DN19" s="377" t="s">
        <v>71</v>
      </c>
      <c r="DO19" s="380" t="s">
        <v>71</v>
      </c>
      <c r="DP19" s="386" t="s">
        <v>71</v>
      </c>
      <c r="DQ19" s="378" t="s">
        <v>71</v>
      </c>
      <c r="DR19" s="379" t="s">
        <v>71</v>
      </c>
      <c r="DS19" s="367"/>
      <c r="DU19" s="249">
        <f t="shared" si="86"/>
        <v>0</v>
      </c>
      <c r="DV19" s="249">
        <f t="shared" ref="DV19:DV28" si="106">IF(AS19=1,$N19,0)</f>
        <v>0</v>
      </c>
      <c r="DW19" s="249">
        <f t="shared" ref="DW19:DW28" si="107">IF(AT19=1,$N19,0)</f>
        <v>0</v>
      </c>
      <c r="DX19" s="249">
        <f t="shared" ref="DX19:DX28" si="108">IF(AU19=1,$N19,0)</f>
        <v>3</v>
      </c>
      <c r="DY19" s="249">
        <f t="shared" ref="DY19:DY27" si="109">IF(AV19=1,$N19,0)</f>
        <v>0</v>
      </c>
      <c r="EA19" s="249">
        <f t="shared" si="9"/>
        <v>0</v>
      </c>
      <c r="EB19" s="249">
        <f t="shared" si="10"/>
        <v>0</v>
      </c>
      <c r="EC19" s="249">
        <f t="shared" si="11"/>
        <v>0</v>
      </c>
      <c r="ED19" s="249">
        <f t="shared" si="12"/>
        <v>0</v>
      </c>
      <c r="EE19" s="249">
        <f t="shared" si="13"/>
        <v>0</v>
      </c>
      <c r="EF19" s="249">
        <f t="shared" si="14"/>
        <v>0</v>
      </c>
      <c r="EH19" s="249">
        <f t="shared" si="15"/>
        <v>0</v>
      </c>
      <c r="EI19" s="249">
        <f t="shared" si="16"/>
        <v>0</v>
      </c>
      <c r="EJ19" s="249">
        <f t="shared" si="17"/>
        <v>0</v>
      </c>
      <c r="EK19" s="249">
        <f t="shared" si="18"/>
        <v>0</v>
      </c>
      <c r="EL19" s="249">
        <f t="shared" si="19"/>
        <v>0</v>
      </c>
      <c r="EM19" s="249">
        <f t="shared" si="20"/>
        <v>0</v>
      </c>
      <c r="EO19" s="249">
        <f t="shared" si="21"/>
        <v>0</v>
      </c>
      <c r="EP19" s="249">
        <f t="shared" si="22"/>
        <v>0</v>
      </c>
      <c r="EQ19" s="249">
        <f t="shared" si="23"/>
        <v>0</v>
      </c>
      <c r="ER19" s="249">
        <f t="shared" si="24"/>
        <v>0</v>
      </c>
      <c r="ES19" s="249">
        <f t="shared" si="25"/>
        <v>0</v>
      </c>
      <c r="ET19" s="249">
        <f t="shared" si="26"/>
        <v>0</v>
      </c>
      <c r="EV19" s="249">
        <f t="shared" si="27"/>
        <v>0</v>
      </c>
      <c r="EW19" s="249">
        <f t="shared" si="28"/>
        <v>2</v>
      </c>
      <c r="EX19" s="249">
        <f t="shared" si="29"/>
        <v>2</v>
      </c>
      <c r="EY19" s="249">
        <f t="shared" si="30"/>
        <v>1</v>
      </c>
      <c r="EZ19" s="249">
        <f t="shared" si="31"/>
        <v>1</v>
      </c>
      <c r="FA19" s="249">
        <f t="shared" si="32"/>
        <v>0</v>
      </c>
      <c r="FC19" s="249">
        <f t="shared" si="33"/>
        <v>0</v>
      </c>
      <c r="FD19" s="249">
        <f t="shared" si="34"/>
        <v>0</v>
      </c>
      <c r="FE19" s="249">
        <f t="shared" si="35"/>
        <v>0</v>
      </c>
      <c r="FF19" s="249">
        <f t="shared" si="36"/>
        <v>0</v>
      </c>
      <c r="FG19" s="249">
        <f t="shared" si="37"/>
        <v>0</v>
      </c>
      <c r="FH19" s="249">
        <f t="shared" si="38"/>
        <v>0</v>
      </c>
      <c r="FK19" s="240">
        <f t="shared" si="39"/>
        <v>0</v>
      </c>
      <c r="FL19" s="240">
        <f t="shared" si="91"/>
        <v>0</v>
      </c>
      <c r="FM19" s="240">
        <f t="shared" si="92"/>
        <v>0</v>
      </c>
      <c r="FN19" s="240" t="str">
        <f t="shared" si="93"/>
        <v>Guavio</v>
      </c>
      <c r="FO19" s="241">
        <f t="shared" si="40"/>
        <v>0</v>
      </c>
      <c r="FQ19" s="242">
        <f t="shared" si="41"/>
        <v>0</v>
      </c>
      <c r="FR19" s="240" t="str">
        <f t="shared" si="94"/>
        <v>Guavio</v>
      </c>
      <c r="FS19" s="240">
        <f t="shared" si="95"/>
        <v>0</v>
      </c>
      <c r="FT19" s="240">
        <f t="shared" si="96"/>
        <v>0</v>
      </c>
      <c r="FU19" s="241">
        <f t="shared" si="42"/>
        <v>0</v>
      </c>
      <c r="FW19" s="277">
        <f t="shared" si="43"/>
        <v>0</v>
      </c>
      <c r="FX19" s="278">
        <f t="shared" si="97"/>
        <v>0</v>
      </c>
      <c r="FY19" s="278" t="str">
        <f t="shared" si="98"/>
        <v>Guavio</v>
      </c>
      <c r="FZ19" s="278">
        <f t="shared" si="99"/>
        <v>0</v>
      </c>
      <c r="GA19" s="279">
        <f t="shared" si="44"/>
        <v>0</v>
      </c>
    </row>
    <row r="20" spans="1:183" x14ac:dyDescent="0.35">
      <c r="A20" s="333">
        <v>1987</v>
      </c>
      <c r="B20" s="158" t="s">
        <v>137</v>
      </c>
      <c r="C20" s="158">
        <v>17</v>
      </c>
      <c r="D20" s="716"/>
      <c r="E20" s="324" t="s">
        <v>84</v>
      </c>
      <c r="F20" s="269">
        <f t="shared" si="100"/>
        <v>33</v>
      </c>
      <c r="G20" s="280">
        <f>COUNT(BETANIA!D24:D38)</f>
        <v>0</v>
      </c>
      <c r="H20" s="281">
        <f>COUNT(BETANIA!E24:E38)</f>
        <v>3</v>
      </c>
      <c r="I20" s="281">
        <f>COUNT(BETANIA!F24:F38)</f>
        <v>3</v>
      </c>
      <c r="J20" s="281">
        <f>COUNT(BETANIA!G24:G38)</f>
        <v>1</v>
      </c>
      <c r="K20" s="281">
        <f>COUNT(BETANIA!H24:H38)</f>
        <v>1</v>
      </c>
      <c r="L20" s="281"/>
      <c r="M20" s="294"/>
      <c r="N20" s="282">
        <f>COUNT(BETANIA!C24:C38)</f>
        <v>4</v>
      </c>
      <c r="O20" s="280">
        <v>540</v>
      </c>
      <c r="P20" s="329">
        <v>2137</v>
      </c>
      <c r="Q20" s="295">
        <f>BETANIA!J26</f>
        <v>125.77</v>
      </c>
      <c r="R20" s="296">
        <f>BETANIA!J29</f>
        <v>102.9</v>
      </c>
      <c r="S20" s="295">
        <f>BETANIA!K26</f>
        <v>850.5200000000001</v>
      </c>
      <c r="T20" s="296">
        <f>BETANIA!K29</f>
        <v>736.35</v>
      </c>
      <c r="U20" s="295">
        <f>BETANIA!L26</f>
        <v>1488.15</v>
      </c>
      <c r="V20" s="296">
        <f>BETANIA!L29</f>
        <v>1294.76</v>
      </c>
      <c r="W20" s="288">
        <f t="shared" si="45"/>
        <v>0.18183986642283526</v>
      </c>
      <c r="X20" s="289">
        <f t="shared" si="46"/>
        <v>0.1342355265014345</v>
      </c>
      <c r="Y20" s="290">
        <f t="shared" si="47"/>
        <v>0.129953297718644</v>
      </c>
      <c r="Z20" s="367"/>
      <c r="AA20" s="376">
        <f>BETANIA!O32</f>
        <v>1.270555555555555</v>
      </c>
      <c r="AB20" s="377">
        <f>BETANIA!P32</f>
        <v>6.3427777777777816</v>
      </c>
      <c r="AC20" s="380">
        <f>BETANIA!Q32</f>
        <v>10.743888888888895</v>
      </c>
      <c r="AD20" s="386">
        <f>BETANIA!O33</f>
        <v>1.0102214801268626E-2</v>
      </c>
      <c r="AE20" s="378">
        <f>BETANIA!P33</f>
        <v>7.4575292500796931E-3</v>
      </c>
      <c r="AF20" s="379">
        <f>BETANIA!Q33</f>
        <v>7.2196276510357793E-3</v>
      </c>
      <c r="AG20" s="367"/>
      <c r="AH20" s="367"/>
      <c r="AI20" s="376">
        <f t="shared" si="48"/>
        <v>1.270555555555555</v>
      </c>
      <c r="AJ20" s="377">
        <f t="shared" si="49"/>
        <v>6.3427777777777816</v>
      </c>
      <c r="AK20" s="380">
        <f t="shared" si="50"/>
        <v>10.743888888888895</v>
      </c>
      <c r="AL20" s="386">
        <f t="shared" si="51"/>
        <v>1.0102214801268626E-2</v>
      </c>
      <c r="AM20" s="378">
        <f t="shared" si="52"/>
        <v>7.4575292500796931E-3</v>
      </c>
      <c r="AN20" s="379">
        <f t="shared" si="53"/>
        <v>7.2196276510357793E-3</v>
      </c>
      <c r="AO20" s="367"/>
      <c r="AP20" s="350">
        <f t="shared" si="102"/>
        <v>1</v>
      </c>
      <c r="AQ20" s="368"/>
      <c r="AR20" s="277">
        <f t="shared" si="1"/>
        <v>0</v>
      </c>
      <c r="AS20" s="278">
        <f t="shared" si="55"/>
        <v>0</v>
      </c>
      <c r="AT20" s="278">
        <f t="shared" si="2"/>
        <v>0</v>
      </c>
      <c r="AU20" s="278">
        <f t="shared" si="3"/>
        <v>0</v>
      </c>
      <c r="AV20" s="279">
        <f t="shared" si="56"/>
        <v>1</v>
      </c>
      <c r="AX20" s="367"/>
      <c r="AY20" s="376" t="str">
        <f t="shared" si="57"/>
        <v/>
      </c>
      <c r="AZ20" s="377" t="str">
        <f t="shared" si="58"/>
        <v/>
      </c>
      <c r="BA20" s="380" t="str">
        <f t="shared" si="59"/>
        <v/>
      </c>
      <c r="BB20" s="386" t="str">
        <f t="shared" si="60"/>
        <v/>
      </c>
      <c r="BC20" s="378" t="str">
        <f t="shared" si="61"/>
        <v/>
      </c>
      <c r="BD20" s="379" t="str">
        <f t="shared" si="62"/>
        <v/>
      </c>
      <c r="BE20" s="367"/>
      <c r="BF20" s="367"/>
      <c r="BG20" s="376" t="str">
        <f t="shared" si="63"/>
        <v/>
      </c>
      <c r="BH20" s="377" t="str">
        <f t="shared" si="64"/>
        <v/>
      </c>
      <c r="BI20" s="380" t="str">
        <f t="shared" si="65"/>
        <v/>
      </c>
      <c r="BJ20" s="386" t="str">
        <f t="shared" si="66"/>
        <v/>
      </c>
      <c r="BK20" s="378" t="str">
        <f t="shared" si="67"/>
        <v/>
      </c>
      <c r="BL20" s="379" t="str">
        <f t="shared" si="68"/>
        <v/>
      </c>
      <c r="BM20" s="367"/>
      <c r="BN20" s="376" t="str">
        <f t="shared" si="103"/>
        <v/>
      </c>
      <c r="BO20" s="377" t="str">
        <f t="shared" si="104"/>
        <v/>
      </c>
      <c r="BP20" s="380" t="str">
        <f t="shared" si="105"/>
        <v/>
      </c>
      <c r="BQ20" s="386" t="str">
        <f t="shared" si="72"/>
        <v/>
      </c>
      <c r="BR20" s="378" t="str">
        <f t="shared" si="73"/>
        <v/>
      </c>
      <c r="BS20" s="379" t="str">
        <f t="shared" si="74"/>
        <v/>
      </c>
      <c r="BT20" s="367"/>
      <c r="BU20" s="376" t="str">
        <f t="shared" si="75"/>
        <v/>
      </c>
      <c r="BV20" s="377" t="str">
        <f t="shared" si="76"/>
        <v/>
      </c>
      <c r="BW20" s="380" t="str">
        <f t="shared" si="77"/>
        <v/>
      </c>
      <c r="BX20" s="386" t="str">
        <f t="shared" si="78"/>
        <v/>
      </c>
      <c r="BY20" s="378" t="str">
        <f t="shared" si="79"/>
        <v/>
      </c>
      <c r="BZ20" s="379" t="str">
        <f t="shared" si="80"/>
        <v/>
      </c>
      <c r="CA20" s="367"/>
      <c r="CB20" s="376">
        <f t="shared" si="101"/>
        <v>1.270555555555555</v>
      </c>
      <c r="CC20" s="377">
        <f t="shared" si="81"/>
        <v>6.3427777777777816</v>
      </c>
      <c r="CD20" s="380">
        <f t="shared" si="82"/>
        <v>10.743888888888895</v>
      </c>
      <c r="CE20" s="386">
        <f t="shared" si="83"/>
        <v>1.0102214801268626E-2</v>
      </c>
      <c r="CF20" s="378">
        <f t="shared" si="84"/>
        <v>7.4575292500796931E-3</v>
      </c>
      <c r="CG20" s="379">
        <f t="shared" si="85"/>
        <v>7.2196276510357793E-3</v>
      </c>
      <c r="CH20" s="367"/>
      <c r="CI20" s="367"/>
      <c r="CJ20" s="376" t="s">
        <v>71</v>
      </c>
      <c r="CK20" s="377" t="s">
        <v>71</v>
      </c>
      <c r="CL20" s="380" t="s">
        <v>71</v>
      </c>
      <c r="CM20" s="386" t="s">
        <v>71</v>
      </c>
      <c r="CN20" s="378" t="s">
        <v>71</v>
      </c>
      <c r="CO20" s="379" t="s">
        <v>71</v>
      </c>
      <c r="CP20" s="367"/>
      <c r="CQ20" s="367"/>
      <c r="CR20" s="376" t="s">
        <v>71</v>
      </c>
      <c r="CS20" s="377" t="s">
        <v>71</v>
      </c>
      <c r="CT20" s="380" t="s">
        <v>71</v>
      </c>
      <c r="CU20" s="386" t="s">
        <v>71</v>
      </c>
      <c r="CV20" s="378" t="s">
        <v>71</v>
      </c>
      <c r="CW20" s="379" t="s">
        <v>71</v>
      </c>
      <c r="CX20" s="367"/>
      <c r="CY20" s="376" t="s">
        <v>71</v>
      </c>
      <c r="CZ20" s="377" t="s">
        <v>71</v>
      </c>
      <c r="DA20" s="380" t="s">
        <v>71</v>
      </c>
      <c r="DB20" s="386" t="s">
        <v>71</v>
      </c>
      <c r="DC20" s="378" t="s">
        <v>71</v>
      </c>
      <c r="DD20" s="379" t="s">
        <v>71</v>
      </c>
      <c r="DE20" s="367"/>
      <c r="DF20" s="376" t="s">
        <v>71</v>
      </c>
      <c r="DG20" s="377" t="s">
        <v>71</v>
      </c>
      <c r="DH20" s="380" t="s">
        <v>71</v>
      </c>
      <c r="DI20" s="386" t="s">
        <v>71</v>
      </c>
      <c r="DJ20" s="378" t="s">
        <v>71</v>
      </c>
      <c r="DK20" s="379" t="s">
        <v>71</v>
      </c>
      <c r="DL20" s="367"/>
      <c r="DM20" s="376">
        <v>3.1931510576923077</v>
      </c>
      <c r="DN20" s="377">
        <v>7.2721800000000139</v>
      </c>
      <c r="DO20" s="380">
        <v>15.680207230769243</v>
      </c>
      <c r="DP20" s="386">
        <v>2.5388813371172041E-2</v>
      </c>
      <c r="DQ20" s="378">
        <v>8.5502751258054056E-3</v>
      </c>
      <c r="DR20" s="379">
        <v>1.0536711508093433E-2</v>
      </c>
      <c r="DS20" s="367"/>
      <c r="DU20" s="249">
        <f t="shared" si="86"/>
        <v>0</v>
      </c>
      <c r="DV20" s="249">
        <f t="shared" si="106"/>
        <v>0</v>
      </c>
      <c r="DW20" s="249">
        <f t="shared" si="107"/>
        <v>0</v>
      </c>
      <c r="DX20" s="249">
        <f t="shared" si="108"/>
        <v>0</v>
      </c>
      <c r="DY20" s="249">
        <f t="shared" si="109"/>
        <v>4</v>
      </c>
      <c r="EA20" s="249">
        <f t="shared" si="9"/>
        <v>0</v>
      </c>
      <c r="EB20" s="249">
        <f t="shared" si="10"/>
        <v>0</v>
      </c>
      <c r="EC20" s="249">
        <f t="shared" si="11"/>
        <v>0</v>
      </c>
      <c r="ED20" s="249">
        <f t="shared" si="12"/>
        <v>0</v>
      </c>
      <c r="EE20" s="249">
        <f t="shared" si="13"/>
        <v>0</v>
      </c>
      <c r="EF20" s="249">
        <f t="shared" si="14"/>
        <v>0</v>
      </c>
      <c r="EH20" s="249">
        <f t="shared" si="15"/>
        <v>0</v>
      </c>
      <c r="EI20" s="249">
        <f t="shared" si="16"/>
        <v>0</v>
      </c>
      <c r="EJ20" s="249">
        <f t="shared" si="17"/>
        <v>0</v>
      </c>
      <c r="EK20" s="249">
        <f t="shared" si="18"/>
        <v>0</v>
      </c>
      <c r="EL20" s="249">
        <f t="shared" si="19"/>
        <v>0</v>
      </c>
      <c r="EM20" s="249">
        <f t="shared" si="20"/>
        <v>0</v>
      </c>
      <c r="EO20" s="249">
        <f t="shared" si="21"/>
        <v>0</v>
      </c>
      <c r="EP20" s="249">
        <f t="shared" si="22"/>
        <v>0</v>
      </c>
      <c r="EQ20" s="249">
        <f t="shared" si="23"/>
        <v>0</v>
      </c>
      <c r="ER20" s="249">
        <f t="shared" si="24"/>
        <v>0</v>
      </c>
      <c r="ES20" s="249">
        <f t="shared" si="25"/>
        <v>0</v>
      </c>
      <c r="ET20" s="249">
        <f t="shared" si="26"/>
        <v>0</v>
      </c>
      <c r="EV20" s="249">
        <f t="shared" si="27"/>
        <v>0</v>
      </c>
      <c r="EW20" s="249">
        <f t="shared" si="28"/>
        <v>0</v>
      </c>
      <c r="EX20" s="249">
        <f t="shared" si="29"/>
        <v>0</v>
      </c>
      <c r="EY20" s="249">
        <f t="shared" si="30"/>
        <v>0</v>
      </c>
      <c r="EZ20" s="249">
        <f t="shared" si="31"/>
        <v>0</v>
      </c>
      <c r="FA20" s="249">
        <f t="shared" si="32"/>
        <v>0</v>
      </c>
      <c r="FC20" s="249">
        <f t="shared" si="33"/>
        <v>0</v>
      </c>
      <c r="FD20" s="249">
        <f t="shared" si="34"/>
        <v>3</v>
      </c>
      <c r="FE20" s="249">
        <f t="shared" si="35"/>
        <v>3</v>
      </c>
      <c r="FF20" s="249">
        <f t="shared" si="36"/>
        <v>1</v>
      </c>
      <c r="FG20" s="249">
        <f t="shared" si="37"/>
        <v>1</v>
      </c>
      <c r="FH20" s="249">
        <f t="shared" si="38"/>
        <v>0</v>
      </c>
      <c r="FK20" s="240">
        <f t="shared" si="39"/>
        <v>0</v>
      </c>
      <c r="FL20" s="240" t="str">
        <f t="shared" si="91"/>
        <v>Betania</v>
      </c>
      <c r="FM20" s="240">
        <f t="shared" si="92"/>
        <v>0</v>
      </c>
      <c r="FN20" s="240">
        <f t="shared" si="93"/>
        <v>0</v>
      </c>
      <c r="FO20" s="241">
        <f t="shared" si="40"/>
        <v>0</v>
      </c>
      <c r="FQ20" s="242">
        <f t="shared" si="41"/>
        <v>0</v>
      </c>
      <c r="FR20" s="240">
        <f t="shared" si="94"/>
        <v>0</v>
      </c>
      <c r="FS20" s="240">
        <f t="shared" si="95"/>
        <v>0</v>
      </c>
      <c r="FT20" s="240" t="str">
        <f t="shared" si="96"/>
        <v>Betania</v>
      </c>
      <c r="FU20" s="241">
        <f t="shared" si="42"/>
        <v>0</v>
      </c>
      <c r="FW20" s="277">
        <f t="shared" si="43"/>
        <v>0</v>
      </c>
      <c r="FX20" s="278">
        <f t="shared" si="97"/>
        <v>0</v>
      </c>
      <c r="FY20" s="278">
        <f t="shared" si="98"/>
        <v>0</v>
      </c>
      <c r="FZ20" s="278" t="str">
        <f t="shared" si="99"/>
        <v>Betania</v>
      </c>
      <c r="GA20" s="279">
        <f t="shared" si="44"/>
        <v>0</v>
      </c>
    </row>
    <row r="21" spans="1:183" s="479" customFormat="1" x14ac:dyDescent="0.35">
      <c r="A21" s="457">
        <v>2015</v>
      </c>
      <c r="B21" s="458" t="s">
        <v>137</v>
      </c>
      <c r="C21" s="458">
        <v>18</v>
      </c>
      <c r="D21" s="716"/>
      <c r="E21" s="459" t="s">
        <v>120</v>
      </c>
      <c r="F21" s="269">
        <f t="shared" si="100"/>
        <v>5</v>
      </c>
      <c r="G21" s="460">
        <f>COUNT(QUIMBO!D24:D38)</f>
        <v>1</v>
      </c>
      <c r="H21" s="292">
        <f>COUNT(QUIMBO!E24:E38)</f>
        <v>0</v>
      </c>
      <c r="I21" s="292">
        <f>COUNT(QUIMBO!F24:F38)</f>
        <v>0</v>
      </c>
      <c r="J21" s="292">
        <f>COUNT(QUIMBO!G24:G38)</f>
        <v>0</v>
      </c>
      <c r="K21" s="292">
        <f>COUNT(QUIMBO!H24:H38)</f>
        <v>0</v>
      </c>
      <c r="L21" s="292"/>
      <c r="M21" s="521"/>
      <c r="N21" s="293">
        <f>COUNT(QUIMBO!C24:C38)</f>
        <v>1</v>
      </c>
      <c r="O21" s="522">
        <v>396</v>
      </c>
      <c r="P21" s="523">
        <v>1819</v>
      </c>
      <c r="Q21" s="462">
        <f>QUIMBO!J24</f>
        <v>389.99</v>
      </c>
      <c r="R21" s="463">
        <f>QUIMBO!J24</f>
        <v>389.99</v>
      </c>
      <c r="S21" s="462">
        <f>QUIMBO!K24</f>
        <v>2360.2600000000002</v>
      </c>
      <c r="T21" s="463">
        <f>QUIMBO!K24</f>
        <v>2360.2600000000002</v>
      </c>
      <c r="U21" s="462">
        <f>QUIMBO!L24</f>
        <v>3195.69</v>
      </c>
      <c r="V21" s="463">
        <f>QUIMBO!L24</f>
        <v>3195.69</v>
      </c>
      <c r="W21" s="464">
        <f t="shared" ref="W21:W23" si="110">(Q21-R21)/Q21</f>
        <v>0</v>
      </c>
      <c r="X21" s="465">
        <f t="shared" ref="X21:X23" si="111">(S21-T21)/S21</f>
        <v>0</v>
      </c>
      <c r="Y21" s="466">
        <f t="shared" ref="Y21:Y23" si="112">(U21-V21)/U21</f>
        <v>0</v>
      </c>
      <c r="Z21" s="467"/>
      <c r="AA21" s="468">
        <v>0</v>
      </c>
      <c r="AB21" s="469">
        <v>0</v>
      </c>
      <c r="AC21" s="470">
        <v>0</v>
      </c>
      <c r="AD21" s="471"/>
      <c r="AE21" s="472"/>
      <c r="AF21" s="473"/>
      <c r="AG21" s="467"/>
      <c r="AH21" s="467"/>
      <c r="AI21" s="524" t="str">
        <f t="shared" si="48"/>
        <v/>
      </c>
      <c r="AJ21" s="525" t="str">
        <f t="shared" si="49"/>
        <v/>
      </c>
      <c r="AK21" s="526" t="str">
        <f t="shared" si="50"/>
        <v/>
      </c>
      <c r="AL21" s="471" t="str">
        <f t="shared" si="51"/>
        <v/>
      </c>
      <c r="AM21" s="472" t="str">
        <f t="shared" si="52"/>
        <v/>
      </c>
      <c r="AN21" s="473" t="str">
        <f t="shared" si="53"/>
        <v/>
      </c>
      <c r="AO21" s="467"/>
      <c r="AP21" s="474">
        <f t="shared" si="102"/>
        <v>0</v>
      </c>
      <c r="AQ21" s="475"/>
      <c r="AR21" s="476">
        <f t="shared" si="1"/>
        <v>1</v>
      </c>
      <c r="AS21" s="477">
        <f t="shared" si="55"/>
        <v>0</v>
      </c>
      <c r="AT21" s="477">
        <f t="shared" si="2"/>
        <v>0</v>
      </c>
      <c r="AU21" s="477">
        <f t="shared" si="3"/>
        <v>0</v>
      </c>
      <c r="AV21" s="478">
        <f t="shared" si="56"/>
        <v>0</v>
      </c>
      <c r="AX21" s="467"/>
      <c r="AY21" s="524">
        <f t="shared" si="57"/>
        <v>0</v>
      </c>
      <c r="AZ21" s="525">
        <f t="shared" si="58"/>
        <v>0</v>
      </c>
      <c r="BA21" s="526">
        <f t="shared" si="59"/>
        <v>0</v>
      </c>
      <c r="BB21" s="471">
        <f t="shared" si="60"/>
        <v>0</v>
      </c>
      <c r="BC21" s="472">
        <f t="shared" si="61"/>
        <v>0</v>
      </c>
      <c r="BD21" s="473">
        <f t="shared" si="62"/>
        <v>0</v>
      </c>
      <c r="BE21" s="467"/>
      <c r="BF21" s="467"/>
      <c r="BG21" s="524" t="str">
        <f t="shared" si="63"/>
        <v/>
      </c>
      <c r="BH21" s="525" t="str">
        <f t="shared" si="64"/>
        <v/>
      </c>
      <c r="BI21" s="526" t="str">
        <f t="shared" si="65"/>
        <v/>
      </c>
      <c r="BJ21" s="471" t="str">
        <f t="shared" si="66"/>
        <v/>
      </c>
      <c r="BK21" s="472" t="str">
        <f t="shared" si="67"/>
        <v/>
      </c>
      <c r="BL21" s="473" t="str">
        <f t="shared" si="68"/>
        <v/>
      </c>
      <c r="BM21" s="467"/>
      <c r="BN21" s="524" t="str">
        <f t="shared" si="103"/>
        <v/>
      </c>
      <c r="BO21" s="525" t="str">
        <f t="shared" si="104"/>
        <v/>
      </c>
      <c r="BP21" s="526" t="str">
        <f t="shared" si="105"/>
        <v/>
      </c>
      <c r="BQ21" s="471" t="str">
        <f t="shared" si="72"/>
        <v/>
      </c>
      <c r="BR21" s="472" t="str">
        <f t="shared" si="73"/>
        <v/>
      </c>
      <c r="BS21" s="473" t="str">
        <f t="shared" si="74"/>
        <v/>
      </c>
      <c r="BT21" s="467"/>
      <c r="BU21" s="524" t="str">
        <f t="shared" si="75"/>
        <v/>
      </c>
      <c r="BV21" s="525" t="str">
        <f t="shared" si="76"/>
        <v/>
      </c>
      <c r="BW21" s="526" t="str">
        <f t="shared" si="77"/>
        <v/>
      </c>
      <c r="BX21" s="471" t="str">
        <f t="shared" si="78"/>
        <v/>
      </c>
      <c r="BY21" s="472" t="str">
        <f t="shared" si="79"/>
        <v/>
      </c>
      <c r="BZ21" s="473" t="str">
        <f t="shared" si="80"/>
        <v/>
      </c>
      <c r="CA21" s="467"/>
      <c r="CB21" s="524" t="str">
        <f t="shared" si="101"/>
        <v/>
      </c>
      <c r="CC21" s="525" t="str">
        <f t="shared" si="81"/>
        <v/>
      </c>
      <c r="CD21" s="526" t="str">
        <f t="shared" si="82"/>
        <v/>
      </c>
      <c r="CE21" s="471" t="str">
        <f t="shared" si="83"/>
        <v/>
      </c>
      <c r="CF21" s="472" t="str">
        <f t="shared" si="84"/>
        <v/>
      </c>
      <c r="CG21" s="473" t="str">
        <f t="shared" si="85"/>
        <v/>
      </c>
      <c r="CH21" s="467"/>
      <c r="CI21" s="467"/>
      <c r="CJ21" s="524">
        <v>0</v>
      </c>
      <c r="CK21" s="525">
        <v>0</v>
      </c>
      <c r="CL21" s="526">
        <v>0</v>
      </c>
      <c r="CM21" s="471">
        <v>0</v>
      </c>
      <c r="CN21" s="472">
        <v>0</v>
      </c>
      <c r="CO21" s="473">
        <v>0</v>
      </c>
      <c r="CP21" s="467"/>
      <c r="CQ21" s="467"/>
      <c r="CR21" s="524" t="s">
        <v>71</v>
      </c>
      <c r="CS21" s="525" t="s">
        <v>71</v>
      </c>
      <c r="CT21" s="526" t="s">
        <v>71</v>
      </c>
      <c r="CU21" s="471" t="s">
        <v>71</v>
      </c>
      <c r="CV21" s="472" t="s">
        <v>71</v>
      </c>
      <c r="CW21" s="473" t="s">
        <v>71</v>
      </c>
      <c r="CX21" s="467"/>
      <c r="CY21" s="524" t="s">
        <v>71</v>
      </c>
      <c r="CZ21" s="525" t="s">
        <v>71</v>
      </c>
      <c r="DA21" s="526" t="s">
        <v>71</v>
      </c>
      <c r="DB21" s="471" t="s">
        <v>71</v>
      </c>
      <c r="DC21" s="472" t="s">
        <v>71</v>
      </c>
      <c r="DD21" s="473" t="s">
        <v>71</v>
      </c>
      <c r="DE21" s="467"/>
      <c r="DF21" s="524" t="s">
        <v>71</v>
      </c>
      <c r="DG21" s="525" t="s">
        <v>71</v>
      </c>
      <c r="DH21" s="526" t="s">
        <v>71</v>
      </c>
      <c r="DI21" s="471" t="s">
        <v>71</v>
      </c>
      <c r="DJ21" s="472" t="s">
        <v>71</v>
      </c>
      <c r="DK21" s="473" t="s">
        <v>71</v>
      </c>
      <c r="DL21" s="467"/>
      <c r="DM21" s="524" t="s">
        <v>71</v>
      </c>
      <c r="DN21" s="525" t="s">
        <v>71</v>
      </c>
      <c r="DO21" s="526" t="s">
        <v>71</v>
      </c>
      <c r="DP21" s="471" t="s">
        <v>71</v>
      </c>
      <c r="DQ21" s="472" t="s">
        <v>71</v>
      </c>
      <c r="DR21" s="473" t="s">
        <v>71</v>
      </c>
      <c r="DS21" s="467"/>
      <c r="DU21" s="479">
        <f t="shared" ref="DU21:DU23" si="113">IF(AR21=1,$N21,0)</f>
        <v>1</v>
      </c>
      <c r="DV21" s="479">
        <f t="shared" ref="DV21:DV23" si="114">IF(AS21=1,$N21,0)</f>
        <v>0</v>
      </c>
      <c r="DW21" s="479">
        <f t="shared" ref="DW21:DW23" si="115">IF(AT21=1,$N21,0)</f>
        <v>0</v>
      </c>
      <c r="DX21" s="479">
        <f t="shared" ref="DX21:DX23" si="116">IF(AU21=1,$N21,0)</f>
        <v>0</v>
      </c>
      <c r="DY21" s="479">
        <f t="shared" ref="DY21:DY23" si="117">IF(AV21=1,$N21,0)</f>
        <v>0</v>
      </c>
      <c r="EA21" s="479">
        <f t="shared" si="9"/>
        <v>1</v>
      </c>
      <c r="EB21" s="479">
        <f t="shared" si="10"/>
        <v>0</v>
      </c>
      <c r="EC21" s="479">
        <f t="shared" si="11"/>
        <v>0</v>
      </c>
      <c r="ED21" s="479">
        <f t="shared" si="12"/>
        <v>0</v>
      </c>
      <c r="EE21" s="479">
        <f t="shared" si="13"/>
        <v>0</v>
      </c>
      <c r="EF21" s="479">
        <f t="shared" si="14"/>
        <v>0</v>
      </c>
      <c r="EH21" s="479">
        <f t="shared" si="15"/>
        <v>0</v>
      </c>
      <c r="EI21" s="479">
        <f t="shared" si="16"/>
        <v>0</v>
      </c>
      <c r="EJ21" s="479">
        <f t="shared" si="17"/>
        <v>0</v>
      </c>
      <c r="EK21" s="479">
        <f t="shared" si="18"/>
        <v>0</v>
      </c>
      <c r="EL21" s="479">
        <f t="shared" si="19"/>
        <v>0</v>
      </c>
      <c r="EM21" s="479">
        <f t="shared" si="20"/>
        <v>0</v>
      </c>
      <c r="EO21" s="479">
        <f t="shared" si="21"/>
        <v>0</v>
      </c>
      <c r="EP21" s="479">
        <f t="shared" si="22"/>
        <v>0</v>
      </c>
      <c r="EQ21" s="479">
        <f t="shared" si="23"/>
        <v>0</v>
      </c>
      <c r="ER21" s="479">
        <f t="shared" si="24"/>
        <v>0</v>
      </c>
      <c r="ES21" s="479">
        <f t="shared" si="25"/>
        <v>0</v>
      </c>
      <c r="ET21" s="479">
        <f t="shared" si="26"/>
        <v>0</v>
      </c>
      <c r="EV21" s="479">
        <f t="shared" si="27"/>
        <v>0</v>
      </c>
      <c r="EW21" s="479">
        <f t="shared" si="28"/>
        <v>0</v>
      </c>
      <c r="EX21" s="479">
        <f t="shared" si="29"/>
        <v>0</v>
      </c>
      <c r="EY21" s="479">
        <f t="shared" si="30"/>
        <v>0</v>
      </c>
      <c r="EZ21" s="479">
        <f t="shared" si="31"/>
        <v>0</v>
      </c>
      <c r="FA21" s="479">
        <f t="shared" si="32"/>
        <v>0</v>
      </c>
      <c r="FC21" s="479">
        <f t="shared" si="33"/>
        <v>0</v>
      </c>
      <c r="FD21" s="479">
        <f t="shared" si="34"/>
        <v>0</v>
      </c>
      <c r="FE21" s="479">
        <f t="shared" si="35"/>
        <v>0</v>
      </c>
      <c r="FF21" s="479">
        <f t="shared" si="36"/>
        <v>0</v>
      </c>
      <c r="FG21" s="479">
        <f t="shared" si="37"/>
        <v>0</v>
      </c>
      <c r="FH21" s="479">
        <f t="shared" si="38"/>
        <v>0</v>
      </c>
      <c r="FK21" s="480">
        <f t="shared" si="39"/>
        <v>0</v>
      </c>
      <c r="FL21" s="480" t="str">
        <f t="shared" si="91"/>
        <v>Quimbo</v>
      </c>
      <c r="FM21" s="480">
        <f t="shared" si="92"/>
        <v>0</v>
      </c>
      <c r="FN21" s="480">
        <f t="shared" si="93"/>
        <v>0</v>
      </c>
      <c r="FO21" s="481">
        <f t="shared" si="40"/>
        <v>0</v>
      </c>
      <c r="FQ21" s="482">
        <f t="shared" si="41"/>
        <v>0</v>
      </c>
      <c r="FR21" s="480" t="str">
        <f t="shared" si="94"/>
        <v>Quimbo</v>
      </c>
      <c r="FS21" s="480">
        <f t="shared" si="95"/>
        <v>0</v>
      </c>
      <c r="FT21" s="480">
        <f t="shared" si="96"/>
        <v>0</v>
      </c>
      <c r="FU21" s="481">
        <f t="shared" si="42"/>
        <v>0</v>
      </c>
      <c r="FW21" s="476">
        <f t="shared" si="43"/>
        <v>0</v>
      </c>
      <c r="FX21" s="477" t="str">
        <f t="shared" si="97"/>
        <v>Quimbo</v>
      </c>
      <c r="FY21" s="477">
        <f t="shared" si="98"/>
        <v>0</v>
      </c>
      <c r="FZ21" s="477">
        <f t="shared" si="99"/>
        <v>0</v>
      </c>
      <c r="GA21" s="478">
        <f t="shared" si="44"/>
        <v>0</v>
      </c>
    </row>
    <row r="22" spans="1:183" x14ac:dyDescent="0.35">
      <c r="A22" s="333">
        <v>1951</v>
      </c>
      <c r="B22" s="158" t="s">
        <v>137</v>
      </c>
      <c r="C22" s="158">
        <v>19</v>
      </c>
      <c r="D22" s="716"/>
      <c r="E22" s="324" t="s">
        <v>130</v>
      </c>
      <c r="F22" s="269">
        <f t="shared" si="100"/>
        <v>69</v>
      </c>
      <c r="G22" s="280">
        <f>COUNT(SISGA!D24:D38)</f>
        <v>0</v>
      </c>
      <c r="H22" s="281">
        <f>COUNT(SISGA!E24:E38)</f>
        <v>2</v>
      </c>
      <c r="I22" s="281">
        <f>COUNT(SISGA!F24:F38)</f>
        <v>1</v>
      </c>
      <c r="J22" s="281">
        <f>COUNT(SISGA!G24:G38)</f>
        <v>2</v>
      </c>
      <c r="K22" s="281">
        <f>COUNT(SISGA!H24:H38)</f>
        <v>1</v>
      </c>
      <c r="L22" s="281"/>
      <c r="M22" s="294"/>
      <c r="N22" s="282">
        <f>COUNT(SISGA!C24:C38)</f>
        <v>3</v>
      </c>
      <c r="O22" s="340"/>
      <c r="P22" s="341"/>
      <c r="Q22" s="295">
        <f>SISGA!J24</f>
        <v>4.2</v>
      </c>
      <c r="R22" s="296">
        <f>SISGA!J26</f>
        <v>4.4000000000000004</v>
      </c>
      <c r="S22" s="295">
        <f>SISGA!K24</f>
        <v>90.12</v>
      </c>
      <c r="T22" s="297">
        <f>SISGA!K26</f>
        <v>91.66</v>
      </c>
      <c r="U22" s="298">
        <f>SISGA!L24</f>
        <v>94.32</v>
      </c>
      <c r="V22" s="297">
        <f>SISGA!L26</f>
        <v>96.06</v>
      </c>
      <c r="W22" s="288">
        <f t="shared" si="110"/>
        <v>-4.7619047619047658E-2</v>
      </c>
      <c r="X22" s="289">
        <f t="shared" si="111"/>
        <v>-1.7088326675543629E-2</v>
      </c>
      <c r="Y22" s="290">
        <f t="shared" si="112"/>
        <v>-1.8447837150127325E-2</v>
      </c>
      <c r="Z22" s="367"/>
      <c r="AA22" s="376">
        <f>SISGA!O32</f>
        <v>-1.4285714285714299E-2</v>
      </c>
      <c r="AB22" s="377">
        <f>SISGA!P32</f>
        <v>-0.10999999999999943</v>
      </c>
      <c r="AC22" s="380">
        <f>SISGA!Q32</f>
        <v>-0.12428571428571493</v>
      </c>
      <c r="AD22" s="386">
        <f>SISGA!O33</f>
        <v>-3.40136054421769E-3</v>
      </c>
      <c r="AE22" s="378">
        <f>SISGA!P33</f>
        <v>-1.2205947625388307E-3</v>
      </c>
      <c r="AF22" s="379">
        <f>SISGA!Q33</f>
        <v>-1.3177026535805231E-3</v>
      </c>
      <c r="AG22" s="367"/>
      <c r="AH22" s="367"/>
      <c r="AI22" s="376" t="str">
        <f t="shared" si="48"/>
        <v/>
      </c>
      <c r="AJ22" s="377" t="str">
        <f t="shared" si="49"/>
        <v/>
      </c>
      <c r="AK22" s="380" t="str">
        <f t="shared" si="50"/>
        <v/>
      </c>
      <c r="AL22" s="386" t="str">
        <f t="shared" si="51"/>
        <v/>
      </c>
      <c r="AM22" s="378" t="str">
        <f t="shared" si="52"/>
        <v/>
      </c>
      <c r="AN22" s="379" t="str">
        <f t="shared" si="53"/>
        <v/>
      </c>
      <c r="AO22" s="367"/>
      <c r="AP22" s="350">
        <f t="shared" si="102"/>
        <v>0</v>
      </c>
      <c r="AQ22" s="368"/>
      <c r="AR22" s="277">
        <f t="shared" si="1"/>
        <v>0</v>
      </c>
      <c r="AS22" s="278">
        <f t="shared" si="55"/>
        <v>0</v>
      </c>
      <c r="AT22" s="278">
        <f t="shared" si="2"/>
        <v>0</v>
      </c>
      <c r="AU22" s="278">
        <f t="shared" si="3"/>
        <v>0</v>
      </c>
      <c r="AV22" s="279">
        <f t="shared" si="56"/>
        <v>1</v>
      </c>
      <c r="AX22" s="367"/>
      <c r="AY22" s="376" t="str">
        <f t="shared" si="57"/>
        <v/>
      </c>
      <c r="AZ22" s="377" t="str">
        <f t="shared" si="58"/>
        <v/>
      </c>
      <c r="BA22" s="380" t="str">
        <f t="shared" si="59"/>
        <v/>
      </c>
      <c r="BB22" s="386" t="str">
        <f t="shared" si="60"/>
        <v/>
      </c>
      <c r="BC22" s="378" t="str">
        <f t="shared" si="61"/>
        <v/>
      </c>
      <c r="BD22" s="379" t="str">
        <f t="shared" si="62"/>
        <v/>
      </c>
      <c r="BE22" s="367"/>
      <c r="BF22" s="367"/>
      <c r="BG22" s="376" t="str">
        <f t="shared" si="63"/>
        <v/>
      </c>
      <c r="BH22" s="377" t="str">
        <f t="shared" si="64"/>
        <v/>
      </c>
      <c r="BI22" s="380" t="str">
        <f t="shared" si="65"/>
        <v/>
      </c>
      <c r="BJ22" s="386" t="str">
        <f t="shared" si="66"/>
        <v/>
      </c>
      <c r="BK22" s="378" t="str">
        <f t="shared" si="67"/>
        <v/>
      </c>
      <c r="BL22" s="379" t="str">
        <f t="shared" si="68"/>
        <v/>
      </c>
      <c r="BM22" s="367"/>
      <c r="BN22" s="376" t="str">
        <f t="shared" si="103"/>
        <v/>
      </c>
      <c r="BO22" s="377" t="str">
        <f t="shared" si="104"/>
        <v/>
      </c>
      <c r="BP22" s="380" t="str">
        <f t="shared" si="105"/>
        <v/>
      </c>
      <c r="BQ22" s="386" t="str">
        <f t="shared" si="72"/>
        <v/>
      </c>
      <c r="BR22" s="378" t="str">
        <f t="shared" si="73"/>
        <v/>
      </c>
      <c r="BS22" s="379" t="str">
        <f t="shared" si="74"/>
        <v/>
      </c>
      <c r="BT22" s="367"/>
      <c r="BU22" s="376" t="str">
        <f t="shared" si="75"/>
        <v/>
      </c>
      <c r="BV22" s="377" t="str">
        <f t="shared" si="76"/>
        <v/>
      </c>
      <c r="BW22" s="380" t="str">
        <f t="shared" si="77"/>
        <v/>
      </c>
      <c r="BX22" s="386" t="str">
        <f t="shared" si="78"/>
        <v/>
      </c>
      <c r="BY22" s="378" t="str">
        <f t="shared" si="79"/>
        <v/>
      </c>
      <c r="BZ22" s="379" t="str">
        <f t="shared" si="80"/>
        <v/>
      </c>
      <c r="CA22" s="367"/>
      <c r="CB22" s="376">
        <f t="shared" si="101"/>
        <v>-1.4285714285714299E-2</v>
      </c>
      <c r="CC22" s="377">
        <f t="shared" si="81"/>
        <v>-0.10999999999999943</v>
      </c>
      <c r="CD22" s="380">
        <f t="shared" si="82"/>
        <v>-0.12428571428571493</v>
      </c>
      <c r="CE22" s="386">
        <f t="shared" si="83"/>
        <v>-3.40136054421769E-3</v>
      </c>
      <c r="CF22" s="378">
        <f t="shared" si="84"/>
        <v>-1.2205947625388307E-3</v>
      </c>
      <c r="CG22" s="379">
        <f t="shared" si="85"/>
        <v>-1.3177026535805231E-3</v>
      </c>
      <c r="CH22" s="367"/>
      <c r="CI22" s="367"/>
      <c r="CJ22" s="376" t="s">
        <v>71</v>
      </c>
      <c r="CK22" s="377" t="s">
        <v>71</v>
      </c>
      <c r="CL22" s="380" t="s">
        <v>71</v>
      </c>
      <c r="CM22" s="386" t="s">
        <v>71</v>
      </c>
      <c r="CN22" s="378" t="s">
        <v>71</v>
      </c>
      <c r="CO22" s="379" t="s">
        <v>71</v>
      </c>
      <c r="CP22" s="367"/>
      <c r="CQ22" s="367"/>
      <c r="CR22" s="376" t="s">
        <v>71</v>
      </c>
      <c r="CS22" s="377" t="s">
        <v>71</v>
      </c>
      <c r="CT22" s="380" t="s">
        <v>71</v>
      </c>
      <c r="CU22" s="386" t="s">
        <v>71</v>
      </c>
      <c r="CV22" s="378" t="s">
        <v>71</v>
      </c>
      <c r="CW22" s="379" t="s">
        <v>71</v>
      </c>
      <c r="CX22" s="367"/>
      <c r="CY22" s="376" t="s">
        <v>71</v>
      </c>
      <c r="CZ22" s="377" t="s">
        <v>71</v>
      </c>
      <c r="DA22" s="380" t="s">
        <v>71</v>
      </c>
      <c r="DB22" s="386" t="s">
        <v>71</v>
      </c>
      <c r="DC22" s="378" t="s">
        <v>71</v>
      </c>
      <c r="DD22" s="379" t="s">
        <v>71</v>
      </c>
      <c r="DE22" s="367"/>
      <c r="DF22" s="376" t="s">
        <v>71</v>
      </c>
      <c r="DG22" s="377" t="s">
        <v>71</v>
      </c>
      <c r="DH22" s="380" t="s">
        <v>71</v>
      </c>
      <c r="DI22" s="386" t="s">
        <v>71</v>
      </c>
      <c r="DJ22" s="378" t="s">
        <v>71</v>
      </c>
      <c r="DK22" s="379" t="s">
        <v>71</v>
      </c>
      <c r="DL22" s="367"/>
      <c r="DM22" s="376"/>
      <c r="DN22" s="377"/>
      <c r="DO22" s="380"/>
      <c r="DP22" s="386"/>
      <c r="DQ22" s="378"/>
      <c r="DR22" s="379"/>
      <c r="DS22" s="367"/>
      <c r="DU22" s="249">
        <f t="shared" si="113"/>
        <v>0</v>
      </c>
      <c r="DV22" s="249">
        <f t="shared" si="114"/>
        <v>0</v>
      </c>
      <c r="DW22" s="249">
        <f t="shared" si="115"/>
        <v>0</v>
      </c>
      <c r="DX22" s="249">
        <f t="shared" si="116"/>
        <v>0</v>
      </c>
      <c r="DY22" s="249">
        <f t="shared" si="117"/>
        <v>3</v>
      </c>
      <c r="EA22" s="249">
        <f t="shared" si="9"/>
        <v>0</v>
      </c>
      <c r="EB22" s="249">
        <f t="shared" si="10"/>
        <v>0</v>
      </c>
      <c r="EC22" s="249">
        <f t="shared" si="11"/>
        <v>0</v>
      </c>
      <c r="ED22" s="249">
        <f t="shared" si="12"/>
        <v>0</v>
      </c>
      <c r="EE22" s="249">
        <f t="shared" si="13"/>
        <v>0</v>
      </c>
      <c r="EF22" s="249">
        <f t="shared" si="14"/>
        <v>0</v>
      </c>
      <c r="EH22" s="249">
        <f t="shared" si="15"/>
        <v>0</v>
      </c>
      <c r="EI22" s="249">
        <f t="shared" si="16"/>
        <v>0</v>
      </c>
      <c r="EJ22" s="249">
        <f t="shared" si="17"/>
        <v>0</v>
      </c>
      <c r="EK22" s="249">
        <f t="shared" si="18"/>
        <v>0</v>
      </c>
      <c r="EL22" s="249">
        <f t="shared" si="19"/>
        <v>0</v>
      </c>
      <c r="EM22" s="249">
        <f t="shared" si="20"/>
        <v>0</v>
      </c>
      <c r="EO22" s="249">
        <f t="shared" si="21"/>
        <v>0</v>
      </c>
      <c r="EP22" s="249">
        <f t="shared" si="22"/>
        <v>0</v>
      </c>
      <c r="EQ22" s="249">
        <f t="shared" si="23"/>
        <v>0</v>
      </c>
      <c r="ER22" s="249">
        <f t="shared" si="24"/>
        <v>0</v>
      </c>
      <c r="ES22" s="249">
        <f t="shared" si="25"/>
        <v>0</v>
      </c>
      <c r="ET22" s="249">
        <f t="shared" si="26"/>
        <v>0</v>
      </c>
      <c r="EV22" s="249">
        <f t="shared" si="27"/>
        <v>0</v>
      </c>
      <c r="EW22" s="249">
        <f t="shared" si="28"/>
        <v>0</v>
      </c>
      <c r="EX22" s="249">
        <f t="shared" si="29"/>
        <v>0</v>
      </c>
      <c r="EY22" s="249">
        <f t="shared" si="30"/>
        <v>0</v>
      </c>
      <c r="EZ22" s="249">
        <f t="shared" si="31"/>
        <v>0</v>
      </c>
      <c r="FA22" s="249">
        <f t="shared" si="32"/>
        <v>0</v>
      </c>
      <c r="FC22" s="249">
        <f t="shared" si="33"/>
        <v>0</v>
      </c>
      <c r="FD22" s="249">
        <f t="shared" si="34"/>
        <v>2</v>
      </c>
      <c r="FE22" s="249">
        <f t="shared" si="35"/>
        <v>1</v>
      </c>
      <c r="FF22" s="249">
        <f t="shared" si="36"/>
        <v>2</v>
      </c>
      <c r="FG22" s="249">
        <f t="shared" si="37"/>
        <v>1</v>
      </c>
      <c r="FH22" s="249">
        <f t="shared" si="38"/>
        <v>0</v>
      </c>
      <c r="FK22" s="240" t="str">
        <f t="shared" si="39"/>
        <v>Sisga</v>
      </c>
      <c r="FL22" s="240">
        <f t="shared" si="91"/>
        <v>0</v>
      </c>
      <c r="FM22" s="240">
        <f t="shared" si="92"/>
        <v>0</v>
      </c>
      <c r="FN22" s="240">
        <f t="shared" si="93"/>
        <v>0</v>
      </c>
      <c r="FO22" s="241">
        <f t="shared" si="40"/>
        <v>0</v>
      </c>
      <c r="FQ22" s="242" t="str">
        <f t="shared" si="41"/>
        <v>Sisga</v>
      </c>
      <c r="FR22" s="240">
        <f t="shared" si="94"/>
        <v>0</v>
      </c>
      <c r="FS22" s="240">
        <f t="shared" si="95"/>
        <v>0</v>
      </c>
      <c r="FT22" s="240">
        <f t="shared" si="96"/>
        <v>0</v>
      </c>
      <c r="FU22" s="241">
        <f t="shared" si="42"/>
        <v>0</v>
      </c>
      <c r="FW22" s="277" t="str">
        <f t="shared" si="43"/>
        <v>Sisga</v>
      </c>
      <c r="FX22" s="278">
        <f t="shared" si="97"/>
        <v>0</v>
      </c>
      <c r="FY22" s="278">
        <f t="shared" si="98"/>
        <v>0</v>
      </c>
      <c r="FZ22" s="278">
        <f t="shared" si="99"/>
        <v>0</v>
      </c>
      <c r="GA22" s="279">
        <f t="shared" si="44"/>
        <v>0</v>
      </c>
    </row>
    <row r="23" spans="1:183" x14ac:dyDescent="0.35">
      <c r="A23" s="333">
        <v>1962</v>
      </c>
      <c r="B23" s="158" t="s">
        <v>137</v>
      </c>
      <c r="C23" s="158">
        <v>20</v>
      </c>
      <c r="D23" s="716"/>
      <c r="E23" s="324" t="s">
        <v>131</v>
      </c>
      <c r="F23" s="269">
        <f t="shared" si="100"/>
        <v>58</v>
      </c>
      <c r="G23" s="280">
        <f>COUNT(TOMINE!D24:D38)</f>
        <v>0</v>
      </c>
      <c r="H23" s="281">
        <f>COUNT(TOMINE!E24:E38)</f>
        <v>2</v>
      </c>
      <c r="I23" s="281">
        <f>COUNT(TOMINE!F24:F38)</f>
        <v>2</v>
      </c>
      <c r="J23" s="281">
        <f>COUNT(TOMINE!G24:G38)</f>
        <v>1</v>
      </c>
      <c r="K23" s="281">
        <f>COUNT(TOMINE!H24:H38)</f>
        <v>1</v>
      </c>
      <c r="L23" s="281"/>
      <c r="M23" s="294"/>
      <c r="N23" s="282">
        <f>COUNT(TOMINE!C24:C38)</f>
        <v>3</v>
      </c>
      <c r="O23" s="340"/>
      <c r="P23" s="341"/>
      <c r="Q23" s="295">
        <f>TOMINE!J24</f>
        <v>7.23</v>
      </c>
      <c r="R23" s="296">
        <f>TOMINE!J26</f>
        <v>3.42</v>
      </c>
      <c r="S23" s="295">
        <f>TOMINE!K24</f>
        <v>674.96</v>
      </c>
      <c r="T23" s="297">
        <f>TOMINE!K26</f>
        <v>619.54999999999995</v>
      </c>
      <c r="U23" s="298">
        <f>TOMINE!L24</f>
        <v>682.19</v>
      </c>
      <c r="V23" s="297">
        <f>TOMINE!L26</f>
        <v>622.97</v>
      </c>
      <c r="W23" s="288">
        <f t="shared" si="110"/>
        <v>0.52697095435684649</v>
      </c>
      <c r="X23" s="289">
        <f t="shared" si="111"/>
        <v>8.2093753703923314E-2</v>
      </c>
      <c r="Y23" s="290">
        <f t="shared" si="112"/>
        <v>8.6808660343892494E-2</v>
      </c>
      <c r="Z23" s="367"/>
      <c r="AA23" s="376">
        <f>TOMINE!O32</f>
        <v>0.38100000000000006</v>
      </c>
      <c r="AB23" s="377">
        <f>TOMINE!P32</f>
        <v>5.5410000000000084</v>
      </c>
      <c r="AC23" s="380">
        <f>TOMINE!Q32</f>
        <v>5.9220000000000024</v>
      </c>
      <c r="AD23" s="386">
        <f>TOMINE!O33</f>
        <v>5.2697095435684654E-2</v>
      </c>
      <c r="AE23" s="378">
        <f>TOMINE!P33</f>
        <v>8.209375370392331E-3</v>
      </c>
      <c r="AF23" s="379">
        <f>TOMINE!Q33</f>
        <v>8.680866034389249E-3</v>
      </c>
      <c r="AG23" s="367"/>
      <c r="AH23" s="367"/>
      <c r="AI23" s="376">
        <f t="shared" si="48"/>
        <v>0.38100000000000006</v>
      </c>
      <c r="AJ23" s="377">
        <f t="shared" si="49"/>
        <v>5.5410000000000084</v>
      </c>
      <c r="AK23" s="380">
        <f t="shared" si="50"/>
        <v>5.9220000000000024</v>
      </c>
      <c r="AL23" s="386">
        <f t="shared" si="51"/>
        <v>5.2697095435684654E-2</v>
      </c>
      <c r="AM23" s="378">
        <f t="shared" si="52"/>
        <v>8.209375370392331E-3</v>
      </c>
      <c r="AN23" s="379">
        <f t="shared" si="53"/>
        <v>8.680866034389249E-3</v>
      </c>
      <c r="AO23" s="367"/>
      <c r="AP23" s="350">
        <f t="shared" si="102"/>
        <v>1</v>
      </c>
      <c r="AQ23" s="368"/>
      <c r="AR23" s="277">
        <f t="shared" si="1"/>
        <v>0</v>
      </c>
      <c r="AS23" s="278">
        <f t="shared" si="55"/>
        <v>0</v>
      </c>
      <c r="AT23" s="278">
        <f t="shared" si="2"/>
        <v>0</v>
      </c>
      <c r="AU23" s="278">
        <f t="shared" si="3"/>
        <v>0</v>
      </c>
      <c r="AV23" s="279">
        <f t="shared" si="56"/>
        <v>1</v>
      </c>
      <c r="AX23" s="367"/>
      <c r="AY23" s="376" t="str">
        <f t="shared" si="57"/>
        <v/>
      </c>
      <c r="AZ23" s="377" t="str">
        <f t="shared" si="58"/>
        <v/>
      </c>
      <c r="BA23" s="380" t="str">
        <f t="shared" si="59"/>
        <v/>
      </c>
      <c r="BB23" s="386" t="str">
        <f t="shared" si="60"/>
        <v/>
      </c>
      <c r="BC23" s="378" t="str">
        <f t="shared" si="61"/>
        <v/>
      </c>
      <c r="BD23" s="379" t="str">
        <f t="shared" si="62"/>
        <v/>
      </c>
      <c r="BE23" s="367"/>
      <c r="BF23" s="367"/>
      <c r="BG23" s="376" t="str">
        <f t="shared" si="63"/>
        <v/>
      </c>
      <c r="BH23" s="377" t="str">
        <f t="shared" si="64"/>
        <v/>
      </c>
      <c r="BI23" s="380" t="str">
        <f t="shared" si="65"/>
        <v/>
      </c>
      <c r="BJ23" s="386" t="str">
        <f t="shared" si="66"/>
        <v/>
      </c>
      <c r="BK23" s="378" t="str">
        <f t="shared" si="67"/>
        <v/>
      </c>
      <c r="BL23" s="379" t="str">
        <f t="shared" si="68"/>
        <v/>
      </c>
      <c r="BM23" s="367"/>
      <c r="BN23" s="376" t="str">
        <f t="shared" si="103"/>
        <v/>
      </c>
      <c r="BO23" s="377" t="str">
        <f t="shared" si="104"/>
        <v/>
      </c>
      <c r="BP23" s="380" t="str">
        <f t="shared" si="105"/>
        <v/>
      </c>
      <c r="BQ23" s="386" t="str">
        <f t="shared" si="72"/>
        <v/>
      </c>
      <c r="BR23" s="378" t="str">
        <f t="shared" si="73"/>
        <v/>
      </c>
      <c r="BS23" s="379" t="str">
        <f t="shared" si="74"/>
        <v/>
      </c>
      <c r="BT23" s="367"/>
      <c r="BU23" s="376" t="str">
        <f t="shared" si="75"/>
        <v/>
      </c>
      <c r="BV23" s="377" t="str">
        <f t="shared" si="76"/>
        <v/>
      </c>
      <c r="BW23" s="380" t="str">
        <f t="shared" si="77"/>
        <v/>
      </c>
      <c r="BX23" s="386" t="str">
        <f t="shared" si="78"/>
        <v/>
      </c>
      <c r="BY23" s="378" t="str">
        <f t="shared" si="79"/>
        <v/>
      </c>
      <c r="BZ23" s="379" t="str">
        <f t="shared" si="80"/>
        <v/>
      </c>
      <c r="CA23" s="367"/>
      <c r="CB23" s="376">
        <f t="shared" si="101"/>
        <v>0.38100000000000006</v>
      </c>
      <c r="CC23" s="377">
        <f t="shared" si="81"/>
        <v>5.5410000000000084</v>
      </c>
      <c r="CD23" s="380">
        <f t="shared" si="82"/>
        <v>5.9220000000000024</v>
      </c>
      <c r="CE23" s="386">
        <f t="shared" si="83"/>
        <v>5.2697095435684654E-2</v>
      </c>
      <c r="CF23" s="378">
        <f t="shared" si="84"/>
        <v>8.209375370392331E-3</v>
      </c>
      <c r="CG23" s="379">
        <f t="shared" si="85"/>
        <v>8.680866034389249E-3</v>
      </c>
      <c r="CH23" s="367"/>
      <c r="CI23" s="367"/>
      <c r="CJ23" s="376" t="s">
        <v>71</v>
      </c>
      <c r="CK23" s="377" t="s">
        <v>71</v>
      </c>
      <c r="CL23" s="380" t="s">
        <v>71</v>
      </c>
      <c r="CM23" s="386" t="s">
        <v>71</v>
      </c>
      <c r="CN23" s="378" t="s">
        <v>71</v>
      </c>
      <c r="CO23" s="379" t="s">
        <v>71</v>
      </c>
      <c r="CP23" s="367"/>
      <c r="CQ23" s="367"/>
      <c r="CR23" s="376" t="s">
        <v>71</v>
      </c>
      <c r="CS23" s="377" t="s">
        <v>71</v>
      </c>
      <c r="CT23" s="380" t="s">
        <v>71</v>
      </c>
      <c r="CU23" s="386" t="s">
        <v>71</v>
      </c>
      <c r="CV23" s="378" t="s">
        <v>71</v>
      </c>
      <c r="CW23" s="379" t="s">
        <v>71</v>
      </c>
      <c r="CX23" s="367"/>
      <c r="CY23" s="376" t="s">
        <v>71</v>
      </c>
      <c r="CZ23" s="377" t="s">
        <v>71</v>
      </c>
      <c r="DA23" s="380" t="s">
        <v>71</v>
      </c>
      <c r="DB23" s="386" t="s">
        <v>71</v>
      </c>
      <c r="DC23" s="378" t="s">
        <v>71</v>
      </c>
      <c r="DD23" s="379" t="s">
        <v>71</v>
      </c>
      <c r="DE23" s="367"/>
      <c r="DF23" s="376" t="s">
        <v>71</v>
      </c>
      <c r="DG23" s="377" t="s">
        <v>71</v>
      </c>
      <c r="DH23" s="380" t="s">
        <v>71</v>
      </c>
      <c r="DI23" s="386" t="s">
        <v>71</v>
      </c>
      <c r="DJ23" s="378" t="s">
        <v>71</v>
      </c>
      <c r="DK23" s="379" t="s">
        <v>71</v>
      </c>
      <c r="DL23" s="367"/>
      <c r="DM23" s="376">
        <v>0.20700000000000002</v>
      </c>
      <c r="DN23" s="377">
        <v>5.5410000000000084</v>
      </c>
      <c r="DO23" s="380">
        <v>5.9220000000000024</v>
      </c>
      <c r="DP23" s="386">
        <v>2.8630705394190874E-2</v>
      </c>
      <c r="DQ23" s="378">
        <v>8.209375370392331E-3</v>
      </c>
      <c r="DR23" s="379">
        <v>8.680866034389249E-3</v>
      </c>
      <c r="DS23" s="367"/>
      <c r="DU23" s="249">
        <f t="shared" si="113"/>
        <v>0</v>
      </c>
      <c r="DV23" s="249">
        <f t="shared" si="114"/>
        <v>0</v>
      </c>
      <c r="DW23" s="249">
        <f t="shared" si="115"/>
        <v>0</v>
      </c>
      <c r="DX23" s="249">
        <f t="shared" si="116"/>
        <v>0</v>
      </c>
      <c r="DY23" s="249">
        <f t="shared" si="117"/>
        <v>3</v>
      </c>
      <c r="EA23" s="249">
        <f t="shared" si="9"/>
        <v>0</v>
      </c>
      <c r="EB23" s="249">
        <f t="shared" si="10"/>
        <v>0</v>
      </c>
      <c r="EC23" s="249">
        <f t="shared" si="11"/>
        <v>0</v>
      </c>
      <c r="ED23" s="249">
        <f t="shared" si="12"/>
        <v>0</v>
      </c>
      <c r="EE23" s="249">
        <f t="shared" si="13"/>
        <v>0</v>
      </c>
      <c r="EF23" s="249">
        <f t="shared" si="14"/>
        <v>0</v>
      </c>
      <c r="EH23" s="249">
        <f t="shared" si="15"/>
        <v>0</v>
      </c>
      <c r="EI23" s="249">
        <f t="shared" si="16"/>
        <v>0</v>
      </c>
      <c r="EJ23" s="249">
        <f t="shared" si="17"/>
        <v>0</v>
      </c>
      <c r="EK23" s="249">
        <f t="shared" si="18"/>
        <v>0</v>
      </c>
      <c r="EL23" s="249">
        <f t="shared" si="19"/>
        <v>0</v>
      </c>
      <c r="EM23" s="249">
        <f t="shared" si="20"/>
        <v>0</v>
      </c>
      <c r="EO23" s="249">
        <f t="shared" si="21"/>
        <v>0</v>
      </c>
      <c r="EP23" s="249">
        <f t="shared" si="22"/>
        <v>0</v>
      </c>
      <c r="EQ23" s="249">
        <f t="shared" si="23"/>
        <v>0</v>
      </c>
      <c r="ER23" s="249">
        <f t="shared" si="24"/>
        <v>0</v>
      </c>
      <c r="ES23" s="249">
        <f t="shared" si="25"/>
        <v>0</v>
      </c>
      <c r="ET23" s="249">
        <f t="shared" si="26"/>
        <v>0</v>
      </c>
      <c r="EV23" s="249">
        <f t="shared" si="27"/>
        <v>0</v>
      </c>
      <c r="EW23" s="249">
        <f t="shared" si="28"/>
        <v>0</v>
      </c>
      <c r="EX23" s="249">
        <f t="shared" si="29"/>
        <v>0</v>
      </c>
      <c r="EY23" s="249">
        <f t="shared" si="30"/>
        <v>0</v>
      </c>
      <c r="EZ23" s="249">
        <f t="shared" si="31"/>
        <v>0</v>
      </c>
      <c r="FA23" s="249">
        <f t="shared" si="32"/>
        <v>0</v>
      </c>
      <c r="FC23" s="249">
        <f t="shared" si="33"/>
        <v>0</v>
      </c>
      <c r="FD23" s="249">
        <f t="shared" si="34"/>
        <v>2</v>
      </c>
      <c r="FE23" s="249">
        <f t="shared" si="35"/>
        <v>2</v>
      </c>
      <c r="FF23" s="249">
        <f t="shared" si="36"/>
        <v>1</v>
      </c>
      <c r="FG23" s="249">
        <f t="shared" si="37"/>
        <v>1</v>
      </c>
      <c r="FH23" s="249">
        <f t="shared" si="38"/>
        <v>0</v>
      </c>
      <c r="FK23" s="240">
        <f t="shared" si="39"/>
        <v>0</v>
      </c>
      <c r="FL23" s="240">
        <f t="shared" si="91"/>
        <v>0</v>
      </c>
      <c r="FM23" s="240">
        <f t="shared" si="92"/>
        <v>0</v>
      </c>
      <c r="FN23" s="240" t="str">
        <f t="shared" si="93"/>
        <v>Tomine</v>
      </c>
      <c r="FO23" s="241">
        <f t="shared" si="40"/>
        <v>0</v>
      </c>
      <c r="FQ23" s="242">
        <f t="shared" si="41"/>
        <v>0</v>
      </c>
      <c r="FR23" s="240">
        <f t="shared" si="94"/>
        <v>0</v>
      </c>
      <c r="FS23" s="240" t="str">
        <f t="shared" si="95"/>
        <v>Tomine</v>
      </c>
      <c r="FT23" s="240">
        <f t="shared" si="96"/>
        <v>0</v>
      </c>
      <c r="FU23" s="241">
        <f t="shared" si="42"/>
        <v>0</v>
      </c>
      <c r="FW23" s="277">
        <f t="shared" si="43"/>
        <v>0</v>
      </c>
      <c r="FX23" s="278">
        <f t="shared" si="97"/>
        <v>0</v>
      </c>
      <c r="FY23" s="278" t="str">
        <f t="shared" si="98"/>
        <v>Tomine</v>
      </c>
      <c r="FZ23" s="278">
        <f t="shared" si="99"/>
        <v>0</v>
      </c>
      <c r="GA23" s="279">
        <f t="shared" si="44"/>
        <v>0</v>
      </c>
    </row>
    <row r="24" spans="1:183" x14ac:dyDescent="0.35">
      <c r="A24" s="333">
        <v>1952</v>
      </c>
      <c r="B24" s="158" t="s">
        <v>137</v>
      </c>
      <c r="C24" s="158">
        <v>21</v>
      </c>
      <c r="D24" s="716"/>
      <c r="E24" s="324" t="s">
        <v>132</v>
      </c>
      <c r="F24" s="269">
        <f t="shared" si="100"/>
        <v>68</v>
      </c>
      <c r="G24" s="280">
        <f>COUNT(NEUSA!D24:D38)</f>
        <v>0</v>
      </c>
      <c r="H24" s="281">
        <f>COUNT(NEUSA!E24:E38)</f>
        <v>2</v>
      </c>
      <c r="I24" s="281">
        <f>COUNT(NEUSA!F24:F38)</f>
        <v>1</v>
      </c>
      <c r="J24" s="281">
        <f>COUNT(NEUSA!G24:G38)</f>
        <v>2</v>
      </c>
      <c r="K24" s="281">
        <f>COUNT(NEUSA!H24:H38)</f>
        <v>1</v>
      </c>
      <c r="L24" s="281"/>
      <c r="M24" s="294"/>
      <c r="N24" s="282">
        <f>COUNT(NEUSA!C24:C38)</f>
        <v>3</v>
      </c>
      <c r="O24" s="340"/>
      <c r="P24" s="341"/>
      <c r="Q24" s="295">
        <f>NEUSA!J24</f>
        <v>0.7</v>
      </c>
      <c r="R24" s="296">
        <f>NEUSA!J26</f>
        <v>0.61</v>
      </c>
      <c r="S24" s="295">
        <f>NEUSA!K24</f>
        <v>117.48</v>
      </c>
      <c r="T24" s="297">
        <f>NEUSA!K26</f>
        <v>114.68</v>
      </c>
      <c r="U24" s="298">
        <f>NEUSA!L24</f>
        <v>118.18</v>
      </c>
      <c r="V24" s="297">
        <f>NEUSA!L26</f>
        <v>115.29</v>
      </c>
      <c r="W24" s="288">
        <f t="shared" ref="W24:W25" si="118">(Q24-R24)/Q24</f>
        <v>0.12857142857142853</v>
      </c>
      <c r="X24" s="289">
        <f t="shared" ref="X24:X25" si="119">(S24-T24)/S24</f>
        <v>2.3833844058563133E-2</v>
      </c>
      <c r="Y24" s="290">
        <f t="shared" ref="Y24:Y25" si="120">(U24-V24)/U24</f>
        <v>2.445422237265189E-2</v>
      </c>
      <c r="Z24" s="367"/>
      <c r="AA24" s="376">
        <f>NEUSA!O32</f>
        <v>6.4285714285714267E-3</v>
      </c>
      <c r="AB24" s="377">
        <f>NEUSA!P32</f>
        <v>0.19999999999999979</v>
      </c>
      <c r="AC24" s="380">
        <f>NEUSA!Q32</f>
        <v>0.20642857142857146</v>
      </c>
      <c r="AD24" s="386">
        <f>NEUSA!O33</f>
        <v>9.1836734693877525E-3</v>
      </c>
      <c r="AE24" s="378">
        <f>NEUSA!P33</f>
        <v>1.7024174327545097E-3</v>
      </c>
      <c r="AF24" s="379">
        <f>NEUSA!Q33</f>
        <v>1.746730169475135E-3</v>
      </c>
      <c r="AG24" s="367"/>
      <c r="AH24" s="367"/>
      <c r="AI24" s="376">
        <f t="shared" si="48"/>
        <v>6.4285714285714267E-3</v>
      </c>
      <c r="AJ24" s="377">
        <f t="shared" si="49"/>
        <v>0.19999999999999979</v>
      </c>
      <c r="AK24" s="380">
        <f t="shared" si="50"/>
        <v>0.20642857142857146</v>
      </c>
      <c r="AL24" s="386">
        <f t="shared" si="51"/>
        <v>9.1836734693877525E-3</v>
      </c>
      <c r="AM24" s="378">
        <f t="shared" si="52"/>
        <v>1.7024174327545097E-3</v>
      </c>
      <c r="AN24" s="379">
        <f t="shared" si="53"/>
        <v>1.746730169475135E-3</v>
      </c>
      <c r="AO24" s="367"/>
      <c r="AP24" s="350">
        <f t="shared" si="102"/>
        <v>1</v>
      </c>
      <c r="AQ24" s="368"/>
      <c r="AR24" s="277">
        <f t="shared" si="1"/>
        <v>0</v>
      </c>
      <c r="AS24" s="278">
        <f t="shared" si="55"/>
        <v>0</v>
      </c>
      <c r="AT24" s="278">
        <f t="shared" si="2"/>
        <v>0</v>
      </c>
      <c r="AU24" s="278">
        <f t="shared" si="3"/>
        <v>0</v>
      </c>
      <c r="AV24" s="279">
        <f t="shared" si="56"/>
        <v>1</v>
      </c>
      <c r="AX24" s="367"/>
      <c r="AY24" s="376" t="str">
        <f t="shared" si="57"/>
        <v/>
      </c>
      <c r="AZ24" s="377" t="str">
        <f t="shared" si="58"/>
        <v/>
      </c>
      <c r="BA24" s="380" t="str">
        <f t="shared" si="59"/>
        <v/>
      </c>
      <c r="BB24" s="386" t="str">
        <f t="shared" si="60"/>
        <v/>
      </c>
      <c r="BC24" s="378" t="str">
        <f t="shared" si="61"/>
        <v/>
      </c>
      <c r="BD24" s="379" t="str">
        <f t="shared" si="62"/>
        <v/>
      </c>
      <c r="BE24" s="367"/>
      <c r="BF24" s="367"/>
      <c r="BG24" s="376" t="str">
        <f t="shared" si="63"/>
        <v/>
      </c>
      <c r="BH24" s="377" t="str">
        <f t="shared" si="64"/>
        <v/>
      </c>
      <c r="BI24" s="380" t="str">
        <f t="shared" si="65"/>
        <v/>
      </c>
      <c r="BJ24" s="386" t="str">
        <f t="shared" si="66"/>
        <v/>
      </c>
      <c r="BK24" s="378" t="str">
        <f t="shared" si="67"/>
        <v/>
      </c>
      <c r="BL24" s="379" t="str">
        <f t="shared" si="68"/>
        <v/>
      </c>
      <c r="BM24" s="367"/>
      <c r="BN24" s="376" t="str">
        <f t="shared" si="103"/>
        <v/>
      </c>
      <c r="BO24" s="377" t="str">
        <f t="shared" si="104"/>
        <v/>
      </c>
      <c r="BP24" s="380" t="str">
        <f t="shared" si="105"/>
        <v/>
      </c>
      <c r="BQ24" s="386" t="str">
        <f t="shared" si="72"/>
        <v/>
      </c>
      <c r="BR24" s="378" t="str">
        <f t="shared" si="73"/>
        <v/>
      </c>
      <c r="BS24" s="379" t="str">
        <f t="shared" si="74"/>
        <v/>
      </c>
      <c r="BT24" s="367"/>
      <c r="BU24" s="376" t="str">
        <f t="shared" si="75"/>
        <v/>
      </c>
      <c r="BV24" s="377" t="str">
        <f t="shared" si="76"/>
        <v/>
      </c>
      <c r="BW24" s="380" t="str">
        <f t="shared" si="77"/>
        <v/>
      </c>
      <c r="BX24" s="386" t="str">
        <f t="shared" si="78"/>
        <v/>
      </c>
      <c r="BY24" s="378" t="str">
        <f t="shared" si="79"/>
        <v/>
      </c>
      <c r="BZ24" s="379" t="str">
        <f t="shared" si="80"/>
        <v/>
      </c>
      <c r="CA24" s="367"/>
      <c r="CB24" s="376">
        <f t="shared" si="101"/>
        <v>6.4285714285714267E-3</v>
      </c>
      <c r="CC24" s="377">
        <f t="shared" si="81"/>
        <v>0.19999999999999979</v>
      </c>
      <c r="CD24" s="380">
        <f t="shared" si="82"/>
        <v>0.20642857142857146</v>
      </c>
      <c r="CE24" s="386">
        <f t="shared" si="83"/>
        <v>9.1836734693877525E-3</v>
      </c>
      <c r="CF24" s="378">
        <f t="shared" si="84"/>
        <v>1.7024174327545097E-3</v>
      </c>
      <c r="CG24" s="379">
        <f t="shared" si="85"/>
        <v>1.746730169475135E-3</v>
      </c>
      <c r="CH24" s="367"/>
      <c r="CI24" s="367"/>
      <c r="CJ24" s="376" t="s">
        <v>71</v>
      </c>
      <c r="CK24" s="377" t="s">
        <v>71</v>
      </c>
      <c r="CL24" s="380" t="s">
        <v>71</v>
      </c>
      <c r="CM24" s="386" t="s">
        <v>71</v>
      </c>
      <c r="CN24" s="378" t="s">
        <v>71</v>
      </c>
      <c r="CO24" s="379" t="s">
        <v>71</v>
      </c>
      <c r="CP24" s="367"/>
      <c r="CQ24" s="367"/>
      <c r="CR24" s="376" t="s">
        <v>71</v>
      </c>
      <c r="CS24" s="377" t="s">
        <v>71</v>
      </c>
      <c r="CT24" s="380" t="s">
        <v>71</v>
      </c>
      <c r="CU24" s="386" t="s">
        <v>71</v>
      </c>
      <c r="CV24" s="378" t="s">
        <v>71</v>
      </c>
      <c r="CW24" s="379" t="s">
        <v>71</v>
      </c>
      <c r="CX24" s="367"/>
      <c r="CY24" s="376" t="s">
        <v>71</v>
      </c>
      <c r="CZ24" s="377" t="s">
        <v>71</v>
      </c>
      <c r="DA24" s="380" t="s">
        <v>71</v>
      </c>
      <c r="DB24" s="386" t="s">
        <v>71</v>
      </c>
      <c r="DC24" s="378" t="s">
        <v>71</v>
      </c>
      <c r="DD24" s="379" t="s">
        <v>71</v>
      </c>
      <c r="DE24" s="367"/>
      <c r="DF24" s="376" t="s">
        <v>71</v>
      </c>
      <c r="DG24" s="377" t="s">
        <v>71</v>
      </c>
      <c r="DH24" s="380" t="s">
        <v>71</v>
      </c>
      <c r="DI24" s="386" t="s">
        <v>71</v>
      </c>
      <c r="DJ24" s="378" t="s">
        <v>71</v>
      </c>
      <c r="DK24" s="379" t="s">
        <v>71</v>
      </c>
      <c r="DL24" s="367"/>
      <c r="DM24" s="376">
        <v>6.4285714285714267E-3</v>
      </c>
      <c r="DN24" s="377">
        <v>0.19999999999999979</v>
      </c>
      <c r="DO24" s="380">
        <v>0.20642857142857146</v>
      </c>
      <c r="DP24" s="386">
        <v>9.1836734693877525E-3</v>
      </c>
      <c r="DQ24" s="378">
        <v>1.7024174327545097E-3</v>
      </c>
      <c r="DR24" s="379">
        <v>1.746730169475135E-3</v>
      </c>
      <c r="DS24" s="367"/>
      <c r="DU24" s="249">
        <f t="shared" ref="DU24:DU25" si="121">IF(AR24=1,$N24,0)</f>
        <v>0</v>
      </c>
      <c r="DV24" s="249">
        <f t="shared" ref="DV24:DV25" si="122">IF(AS24=1,$N24,0)</f>
        <v>0</v>
      </c>
      <c r="DW24" s="249">
        <f t="shared" ref="DW24:DW25" si="123">IF(AT24=1,$N24,0)</f>
        <v>0</v>
      </c>
      <c r="DX24" s="249">
        <f t="shared" ref="DX24:DX25" si="124">IF(AU24=1,$N24,0)</f>
        <v>0</v>
      </c>
      <c r="DY24" s="249">
        <f>IF(AV24=1,$N24,0)</f>
        <v>3</v>
      </c>
      <c r="EA24" s="249">
        <f t="shared" si="9"/>
        <v>0</v>
      </c>
      <c r="EB24" s="249">
        <f t="shared" si="10"/>
        <v>0</v>
      </c>
      <c r="EC24" s="249">
        <f t="shared" si="11"/>
        <v>0</v>
      </c>
      <c r="ED24" s="249">
        <f t="shared" si="12"/>
        <v>0</v>
      </c>
      <c r="EE24" s="249">
        <f t="shared" si="13"/>
        <v>0</v>
      </c>
      <c r="EF24" s="249">
        <f t="shared" si="14"/>
        <v>0</v>
      </c>
      <c r="EH24" s="249">
        <f t="shared" si="15"/>
        <v>0</v>
      </c>
      <c r="EI24" s="249">
        <f t="shared" si="16"/>
        <v>0</v>
      </c>
      <c r="EJ24" s="249">
        <f t="shared" si="17"/>
        <v>0</v>
      </c>
      <c r="EK24" s="249">
        <f t="shared" si="18"/>
        <v>0</v>
      </c>
      <c r="EL24" s="249">
        <f t="shared" si="19"/>
        <v>0</v>
      </c>
      <c r="EM24" s="249">
        <f t="shared" si="20"/>
        <v>0</v>
      </c>
      <c r="EO24" s="249">
        <f t="shared" si="21"/>
        <v>0</v>
      </c>
      <c r="EP24" s="249">
        <f t="shared" si="22"/>
        <v>0</v>
      </c>
      <c r="EQ24" s="249">
        <f t="shared" si="23"/>
        <v>0</v>
      </c>
      <c r="ER24" s="249">
        <f t="shared" si="24"/>
        <v>0</v>
      </c>
      <c r="ES24" s="249">
        <f t="shared" si="25"/>
        <v>0</v>
      </c>
      <c r="ET24" s="249">
        <f t="shared" si="26"/>
        <v>0</v>
      </c>
      <c r="EV24" s="249">
        <f t="shared" si="27"/>
        <v>0</v>
      </c>
      <c r="EW24" s="249">
        <f t="shared" si="28"/>
        <v>0</v>
      </c>
      <c r="EX24" s="249">
        <f t="shared" si="29"/>
        <v>0</v>
      </c>
      <c r="EY24" s="249">
        <f t="shared" si="30"/>
        <v>0</v>
      </c>
      <c r="EZ24" s="249">
        <f t="shared" si="31"/>
        <v>0</v>
      </c>
      <c r="FA24" s="249">
        <f t="shared" si="32"/>
        <v>0</v>
      </c>
      <c r="FC24" s="249">
        <f t="shared" si="33"/>
        <v>0</v>
      </c>
      <c r="FD24" s="249">
        <f t="shared" si="34"/>
        <v>2</v>
      </c>
      <c r="FE24" s="249">
        <f t="shared" si="35"/>
        <v>1</v>
      </c>
      <c r="FF24" s="249">
        <f t="shared" si="36"/>
        <v>2</v>
      </c>
      <c r="FG24" s="249">
        <f t="shared" si="37"/>
        <v>1</v>
      </c>
      <c r="FH24" s="249">
        <f t="shared" si="38"/>
        <v>0</v>
      </c>
      <c r="FK24" s="240">
        <f t="shared" si="39"/>
        <v>0</v>
      </c>
      <c r="FL24" s="240" t="str">
        <f t="shared" si="91"/>
        <v>Neusa</v>
      </c>
      <c r="FM24" s="240">
        <f t="shared" si="92"/>
        <v>0</v>
      </c>
      <c r="FN24" s="240">
        <f t="shared" si="93"/>
        <v>0</v>
      </c>
      <c r="FO24" s="241">
        <f t="shared" si="40"/>
        <v>0</v>
      </c>
      <c r="FQ24" s="242">
        <f t="shared" si="41"/>
        <v>0</v>
      </c>
      <c r="FR24" s="240" t="str">
        <f t="shared" si="94"/>
        <v>Neusa</v>
      </c>
      <c r="FS24" s="240">
        <f t="shared" si="95"/>
        <v>0</v>
      </c>
      <c r="FT24" s="240">
        <f t="shared" si="96"/>
        <v>0</v>
      </c>
      <c r="FU24" s="241">
        <f t="shared" si="42"/>
        <v>0</v>
      </c>
      <c r="FW24" s="277">
        <f t="shared" si="43"/>
        <v>0</v>
      </c>
      <c r="FX24" s="278" t="str">
        <f t="shared" si="97"/>
        <v>Neusa</v>
      </c>
      <c r="FY24" s="278">
        <f t="shared" si="98"/>
        <v>0</v>
      </c>
      <c r="FZ24" s="278">
        <f t="shared" si="99"/>
        <v>0</v>
      </c>
      <c r="GA24" s="279">
        <f t="shared" si="44"/>
        <v>0</v>
      </c>
    </row>
    <row r="25" spans="1:183" s="551" customFormat="1" x14ac:dyDescent="0.35">
      <c r="A25" s="528">
        <v>1982</v>
      </c>
      <c r="B25" s="556" t="s">
        <v>139</v>
      </c>
      <c r="C25" s="556">
        <v>22</v>
      </c>
      <c r="D25" s="716"/>
      <c r="E25" s="529" t="s">
        <v>133</v>
      </c>
      <c r="F25" s="269">
        <f t="shared" si="100"/>
        <v>38</v>
      </c>
      <c r="G25" s="557">
        <f>COUNT(CHUZA!D24:D38)</f>
        <v>0</v>
      </c>
      <c r="H25" s="530">
        <f>COUNT(CHUZA!E24:E38)</f>
        <v>1</v>
      </c>
      <c r="I25" s="530">
        <f>COUNT(CHUZA!F24:F38)</f>
        <v>0</v>
      </c>
      <c r="J25" s="530">
        <f>COUNT(CHUZA!G24:G38)</f>
        <v>2</v>
      </c>
      <c r="K25" s="530">
        <f>COUNT(CHUZA!H24:H38)</f>
        <v>1</v>
      </c>
      <c r="L25" s="530"/>
      <c r="M25" s="558"/>
      <c r="N25" s="559">
        <f>COUNT(CHUZA!C24:C38)</f>
        <v>2</v>
      </c>
      <c r="O25" s="560"/>
      <c r="P25" s="531"/>
      <c r="Q25" s="532">
        <f>CHUZA!J25</f>
        <v>18</v>
      </c>
      <c r="R25" s="533">
        <f>CHUZA!J26</f>
        <v>17.07</v>
      </c>
      <c r="S25" s="532">
        <f>CHUZA!K25</f>
        <v>220.37</v>
      </c>
      <c r="T25" s="534">
        <f>CHUZA!K26</f>
        <v>215.19</v>
      </c>
      <c r="U25" s="535">
        <f>CHUZA!L25</f>
        <v>248.88</v>
      </c>
      <c r="V25" s="534">
        <f>CHUZA!L26</f>
        <v>242.39</v>
      </c>
      <c r="W25" s="536">
        <f t="shared" si="118"/>
        <v>5.1666666666666652E-2</v>
      </c>
      <c r="X25" s="537">
        <f t="shared" si="119"/>
        <v>2.3505921858692231E-2</v>
      </c>
      <c r="Y25" s="538">
        <f t="shared" si="120"/>
        <v>2.6076824172291905E-2</v>
      </c>
      <c r="Z25" s="539"/>
      <c r="AA25" s="540">
        <f>CHUZA!O32</f>
        <v>0.18599999999999994</v>
      </c>
      <c r="AB25" s="541">
        <f>CHUZA!P32</f>
        <v>1.0360000000000014</v>
      </c>
      <c r="AC25" s="542">
        <f>CHUZA!Q32</f>
        <v>1.2980000000000018</v>
      </c>
      <c r="AD25" s="543">
        <f>CHUZA!O33</f>
        <v>1.033333333333333E-2</v>
      </c>
      <c r="AE25" s="544">
        <f>CHUZA!P33</f>
        <v>4.7011843717384462E-3</v>
      </c>
      <c r="AF25" s="545">
        <f>CHUZA!Q33</f>
        <v>5.215364834458381E-3</v>
      </c>
      <c r="AG25" s="539"/>
      <c r="AH25" s="539"/>
      <c r="AI25" s="540">
        <f t="shared" si="48"/>
        <v>0.18599999999999994</v>
      </c>
      <c r="AJ25" s="541">
        <f t="shared" si="49"/>
        <v>1.0360000000000014</v>
      </c>
      <c r="AK25" s="542">
        <f t="shared" si="50"/>
        <v>1.2980000000000018</v>
      </c>
      <c r="AL25" s="543">
        <f t="shared" si="51"/>
        <v>1.033333333333333E-2</v>
      </c>
      <c r="AM25" s="544">
        <f t="shared" si="52"/>
        <v>4.7011843717384462E-3</v>
      </c>
      <c r="AN25" s="545">
        <f t="shared" si="53"/>
        <v>5.215364834458381E-3</v>
      </c>
      <c r="AO25" s="539"/>
      <c r="AP25" s="546">
        <f t="shared" si="102"/>
        <v>1</v>
      </c>
      <c r="AQ25" s="547"/>
      <c r="AR25" s="548">
        <f t="shared" si="1"/>
        <v>0</v>
      </c>
      <c r="AS25" s="549">
        <f t="shared" si="55"/>
        <v>0</v>
      </c>
      <c r="AT25" s="549">
        <f t="shared" si="2"/>
        <v>0</v>
      </c>
      <c r="AU25" s="549">
        <f t="shared" si="3"/>
        <v>0</v>
      </c>
      <c r="AV25" s="550">
        <f t="shared" si="56"/>
        <v>1</v>
      </c>
      <c r="AX25" s="539"/>
      <c r="AY25" s="540" t="str">
        <f t="shared" si="57"/>
        <v/>
      </c>
      <c r="AZ25" s="541" t="str">
        <f t="shared" si="58"/>
        <v/>
      </c>
      <c r="BA25" s="542" t="str">
        <f t="shared" si="59"/>
        <v/>
      </c>
      <c r="BB25" s="543" t="str">
        <f t="shared" si="60"/>
        <v/>
      </c>
      <c r="BC25" s="544" t="str">
        <f t="shared" si="61"/>
        <v/>
      </c>
      <c r="BD25" s="545" t="str">
        <f t="shared" si="62"/>
        <v/>
      </c>
      <c r="BE25" s="539"/>
      <c r="BF25" s="539"/>
      <c r="BG25" s="540" t="str">
        <f t="shared" si="63"/>
        <v/>
      </c>
      <c r="BH25" s="541" t="str">
        <f t="shared" si="64"/>
        <v/>
      </c>
      <c r="BI25" s="542" t="str">
        <f t="shared" si="65"/>
        <v/>
      </c>
      <c r="BJ25" s="543" t="str">
        <f t="shared" si="66"/>
        <v/>
      </c>
      <c r="BK25" s="544" t="str">
        <f t="shared" si="67"/>
        <v/>
      </c>
      <c r="BL25" s="545" t="str">
        <f t="shared" si="68"/>
        <v/>
      </c>
      <c r="BM25" s="539"/>
      <c r="BN25" s="540" t="str">
        <f t="shared" si="103"/>
        <v/>
      </c>
      <c r="BO25" s="541" t="str">
        <f t="shared" si="104"/>
        <v/>
      </c>
      <c r="BP25" s="542" t="str">
        <f t="shared" si="105"/>
        <v/>
      </c>
      <c r="BQ25" s="543" t="str">
        <f t="shared" si="72"/>
        <v/>
      </c>
      <c r="BR25" s="544" t="str">
        <f t="shared" si="73"/>
        <v/>
      </c>
      <c r="BS25" s="545" t="str">
        <f t="shared" si="74"/>
        <v/>
      </c>
      <c r="BT25" s="539"/>
      <c r="BU25" s="540" t="str">
        <f t="shared" si="75"/>
        <v/>
      </c>
      <c r="BV25" s="541" t="str">
        <f t="shared" si="76"/>
        <v/>
      </c>
      <c r="BW25" s="542" t="str">
        <f t="shared" si="77"/>
        <v/>
      </c>
      <c r="BX25" s="543" t="str">
        <f t="shared" si="78"/>
        <v/>
      </c>
      <c r="BY25" s="544" t="str">
        <f t="shared" si="79"/>
        <v/>
      </c>
      <c r="BZ25" s="545" t="str">
        <f t="shared" si="80"/>
        <v/>
      </c>
      <c r="CA25" s="539"/>
      <c r="CB25" s="540">
        <f t="shared" si="101"/>
        <v>0.18599999999999994</v>
      </c>
      <c r="CC25" s="541">
        <f t="shared" si="81"/>
        <v>1.0360000000000014</v>
      </c>
      <c r="CD25" s="542">
        <f t="shared" si="82"/>
        <v>1.2980000000000018</v>
      </c>
      <c r="CE25" s="543">
        <f t="shared" si="83"/>
        <v>1.033333333333333E-2</v>
      </c>
      <c r="CF25" s="544">
        <f t="shared" si="84"/>
        <v>4.7011843717384462E-3</v>
      </c>
      <c r="CG25" s="545">
        <f t="shared" si="85"/>
        <v>5.215364834458381E-3</v>
      </c>
      <c r="CH25" s="539"/>
      <c r="CI25" s="539"/>
      <c r="CJ25" s="540" t="s">
        <v>71</v>
      </c>
      <c r="CK25" s="541" t="s">
        <v>71</v>
      </c>
      <c r="CL25" s="542" t="s">
        <v>71</v>
      </c>
      <c r="CM25" s="543" t="s">
        <v>71</v>
      </c>
      <c r="CN25" s="544" t="s">
        <v>71</v>
      </c>
      <c r="CO25" s="545" t="s">
        <v>71</v>
      </c>
      <c r="CP25" s="539"/>
      <c r="CQ25" s="539"/>
      <c r="CR25" s="540" t="s">
        <v>71</v>
      </c>
      <c r="CS25" s="541" t="s">
        <v>71</v>
      </c>
      <c r="CT25" s="542" t="s">
        <v>71</v>
      </c>
      <c r="CU25" s="543" t="s">
        <v>71</v>
      </c>
      <c r="CV25" s="544" t="s">
        <v>71</v>
      </c>
      <c r="CW25" s="545" t="s">
        <v>71</v>
      </c>
      <c r="CX25" s="539"/>
      <c r="CY25" s="540" t="s">
        <v>71</v>
      </c>
      <c r="CZ25" s="541" t="s">
        <v>71</v>
      </c>
      <c r="DA25" s="542" t="s">
        <v>71</v>
      </c>
      <c r="DB25" s="543" t="s">
        <v>71</v>
      </c>
      <c r="DC25" s="544" t="s">
        <v>71</v>
      </c>
      <c r="DD25" s="545" t="s">
        <v>71</v>
      </c>
      <c r="DE25" s="539"/>
      <c r="DF25" s="540" t="s">
        <v>71</v>
      </c>
      <c r="DG25" s="541" t="s">
        <v>71</v>
      </c>
      <c r="DH25" s="542" t="s">
        <v>71</v>
      </c>
      <c r="DI25" s="543" t="s">
        <v>71</v>
      </c>
      <c r="DJ25" s="544" t="s">
        <v>71</v>
      </c>
      <c r="DK25" s="545" t="s">
        <v>71</v>
      </c>
      <c r="DL25" s="539"/>
      <c r="DM25" s="540">
        <v>0.18599999999999994</v>
      </c>
      <c r="DN25" s="541">
        <v>1.0360000000000014</v>
      </c>
      <c r="DO25" s="542">
        <v>1.2980000000000018</v>
      </c>
      <c r="DP25" s="543">
        <v>1.033333333333333E-2</v>
      </c>
      <c r="DQ25" s="544">
        <v>4.7011843717384462E-3</v>
      </c>
      <c r="DR25" s="545">
        <v>5.215364834458381E-3</v>
      </c>
      <c r="DS25" s="539"/>
      <c r="DU25" s="551">
        <f t="shared" si="121"/>
        <v>0</v>
      </c>
      <c r="DV25" s="551">
        <f t="shared" si="122"/>
        <v>0</v>
      </c>
      <c r="DW25" s="551">
        <f t="shared" si="123"/>
        <v>0</v>
      </c>
      <c r="DX25" s="551">
        <f t="shared" si="124"/>
        <v>0</v>
      </c>
      <c r="DY25" s="551">
        <f t="shared" ref="DY25" si="125">IF(AV25=1,$N25,0)</f>
        <v>2</v>
      </c>
      <c r="EA25" s="551">
        <f t="shared" si="9"/>
        <v>0</v>
      </c>
      <c r="EB25" s="551">
        <f t="shared" si="10"/>
        <v>0</v>
      </c>
      <c r="EC25" s="551">
        <f t="shared" si="11"/>
        <v>0</v>
      </c>
      <c r="ED25" s="551">
        <f t="shared" si="12"/>
        <v>0</v>
      </c>
      <c r="EE25" s="551">
        <f t="shared" si="13"/>
        <v>0</v>
      </c>
      <c r="EF25" s="551">
        <f t="shared" si="14"/>
        <v>0</v>
      </c>
      <c r="EH25" s="551">
        <f t="shared" si="15"/>
        <v>0</v>
      </c>
      <c r="EI25" s="551">
        <f t="shared" si="16"/>
        <v>0</v>
      </c>
      <c r="EJ25" s="551">
        <f t="shared" si="17"/>
        <v>0</v>
      </c>
      <c r="EK25" s="551">
        <f t="shared" si="18"/>
        <v>0</v>
      </c>
      <c r="EL25" s="551">
        <f t="shared" si="19"/>
        <v>0</v>
      </c>
      <c r="EM25" s="551">
        <f t="shared" si="20"/>
        <v>0</v>
      </c>
      <c r="EO25" s="551">
        <f t="shared" si="21"/>
        <v>0</v>
      </c>
      <c r="EP25" s="551">
        <f t="shared" si="22"/>
        <v>0</v>
      </c>
      <c r="EQ25" s="551">
        <f t="shared" si="23"/>
        <v>0</v>
      </c>
      <c r="ER25" s="551">
        <f t="shared" si="24"/>
        <v>0</v>
      </c>
      <c r="ES25" s="551">
        <f t="shared" si="25"/>
        <v>0</v>
      </c>
      <c r="ET25" s="551">
        <f t="shared" si="26"/>
        <v>0</v>
      </c>
      <c r="EV25" s="551">
        <f t="shared" si="27"/>
        <v>0</v>
      </c>
      <c r="EW25" s="551">
        <f t="shared" si="28"/>
        <v>0</v>
      </c>
      <c r="EX25" s="551">
        <f t="shared" si="29"/>
        <v>0</v>
      </c>
      <c r="EY25" s="551">
        <f t="shared" si="30"/>
        <v>0</v>
      </c>
      <c r="EZ25" s="551">
        <f t="shared" si="31"/>
        <v>0</v>
      </c>
      <c r="FA25" s="551">
        <f t="shared" si="32"/>
        <v>0</v>
      </c>
      <c r="FC25" s="551">
        <f t="shared" si="33"/>
        <v>0</v>
      </c>
      <c r="FD25" s="551">
        <f t="shared" si="34"/>
        <v>1</v>
      </c>
      <c r="FE25" s="551">
        <f t="shared" si="35"/>
        <v>0</v>
      </c>
      <c r="FF25" s="551">
        <f t="shared" si="36"/>
        <v>2</v>
      </c>
      <c r="FG25" s="551">
        <f t="shared" si="37"/>
        <v>1</v>
      </c>
      <c r="FH25" s="551">
        <f t="shared" si="38"/>
        <v>0</v>
      </c>
      <c r="FK25" s="552">
        <f t="shared" si="39"/>
        <v>0</v>
      </c>
      <c r="FL25" s="552" t="str">
        <f t="shared" si="91"/>
        <v>Chuza</v>
      </c>
      <c r="FM25" s="552">
        <f t="shared" si="92"/>
        <v>0</v>
      </c>
      <c r="FN25" s="552">
        <f t="shared" si="93"/>
        <v>0</v>
      </c>
      <c r="FO25" s="553">
        <f t="shared" si="40"/>
        <v>0</v>
      </c>
      <c r="FQ25" s="554">
        <f t="shared" si="41"/>
        <v>0</v>
      </c>
      <c r="FR25" s="552" t="str">
        <f t="shared" si="94"/>
        <v>Chuza</v>
      </c>
      <c r="FS25" s="552">
        <f t="shared" si="95"/>
        <v>0</v>
      </c>
      <c r="FT25" s="552">
        <f t="shared" si="96"/>
        <v>0</v>
      </c>
      <c r="FU25" s="553">
        <f t="shared" si="42"/>
        <v>0</v>
      </c>
      <c r="FW25" s="548">
        <f t="shared" si="43"/>
        <v>0</v>
      </c>
      <c r="FX25" s="549" t="str">
        <f t="shared" si="97"/>
        <v>Chuza</v>
      </c>
      <c r="FY25" s="549">
        <f t="shared" si="98"/>
        <v>0</v>
      </c>
      <c r="FZ25" s="549">
        <f t="shared" si="99"/>
        <v>0</v>
      </c>
      <c r="GA25" s="550">
        <f t="shared" si="44"/>
        <v>0</v>
      </c>
    </row>
    <row r="26" spans="1:183" ht="29" x14ac:dyDescent="0.35">
      <c r="A26" s="333">
        <v>1944</v>
      </c>
      <c r="B26" s="158" t="s">
        <v>137</v>
      </c>
      <c r="C26" s="158">
        <v>23</v>
      </c>
      <c r="D26" s="717"/>
      <c r="E26" s="324" t="s">
        <v>142</v>
      </c>
      <c r="F26" s="269">
        <f t="shared" si="100"/>
        <v>76</v>
      </c>
      <c r="G26" s="280">
        <f>COUNT(MUÑA!D24:D38)</f>
        <v>0</v>
      </c>
      <c r="H26" s="281">
        <f>COUNT(MUÑA!E24:E38)</f>
        <v>2</v>
      </c>
      <c r="I26" s="281">
        <f>COUNT(MUÑA!F24:F38)</f>
        <v>2</v>
      </c>
      <c r="J26" s="281">
        <f>COUNT(MUÑA!G24:G38)</f>
        <v>1</v>
      </c>
      <c r="K26" s="281">
        <f>COUNT(MUÑA!H24:H38)</f>
        <v>1</v>
      </c>
      <c r="L26" s="281"/>
      <c r="M26" s="294"/>
      <c r="N26" s="282">
        <f>COUNT(MUÑA!C24:C38)</f>
        <v>3</v>
      </c>
      <c r="O26" s="338">
        <v>600</v>
      </c>
      <c r="P26" s="339">
        <v>3749</v>
      </c>
      <c r="Q26" s="295">
        <f>MUÑA!J24</f>
        <v>0</v>
      </c>
      <c r="R26" s="296">
        <f>MUÑA!J26</f>
        <v>0</v>
      </c>
      <c r="S26" s="295">
        <f>MUÑA!K24</f>
        <v>13.97</v>
      </c>
      <c r="T26" s="296">
        <f>MUÑA!K26</f>
        <v>12.64</v>
      </c>
      <c r="U26" s="295">
        <f>MUÑA!L24</f>
        <v>29.74</v>
      </c>
      <c r="V26" s="296">
        <f>MUÑA!L26</f>
        <v>25.8</v>
      </c>
      <c r="W26" s="288">
        <v>0</v>
      </c>
      <c r="X26" s="289">
        <f t="shared" si="46"/>
        <v>9.5204008589835368E-2</v>
      </c>
      <c r="Y26" s="290">
        <f t="shared" si="47"/>
        <v>0.13248150638870201</v>
      </c>
      <c r="Z26" s="367"/>
      <c r="AA26" s="376">
        <f>MUÑA!O32</f>
        <v>0</v>
      </c>
      <c r="AB26" s="377">
        <f>MUÑA!P32</f>
        <v>9.5000000000000001E-2</v>
      </c>
      <c r="AC26" s="380">
        <f>MUÑA!Q32</f>
        <v>0.28142857142857125</v>
      </c>
      <c r="AD26" s="386">
        <f>MUÑA!O33</f>
        <v>0</v>
      </c>
      <c r="AE26" s="378">
        <f>MUÑA!P33</f>
        <v>6.8002863278453828E-3</v>
      </c>
      <c r="AF26" s="379">
        <f>MUÑA!Q33</f>
        <v>9.4629647420501426E-3</v>
      </c>
      <c r="AG26" s="367"/>
      <c r="AH26" s="367"/>
      <c r="AI26" s="376" t="str">
        <f t="shared" si="48"/>
        <v/>
      </c>
      <c r="AJ26" s="377">
        <f t="shared" si="49"/>
        <v>9.5000000000000001E-2</v>
      </c>
      <c r="AK26" s="380">
        <f t="shared" si="50"/>
        <v>0.28142857142857125</v>
      </c>
      <c r="AL26" s="386" t="str">
        <f t="shared" si="51"/>
        <v/>
      </c>
      <c r="AM26" s="378">
        <f t="shared" si="52"/>
        <v>6.8002863278453828E-3</v>
      </c>
      <c r="AN26" s="379">
        <f t="shared" si="53"/>
        <v>9.4629647420501426E-3</v>
      </c>
      <c r="AO26" s="367"/>
      <c r="AP26" s="350">
        <f t="shared" si="102"/>
        <v>1</v>
      </c>
      <c r="AQ26" s="368"/>
      <c r="AR26" s="277">
        <f t="shared" si="1"/>
        <v>0</v>
      </c>
      <c r="AS26" s="278">
        <f t="shared" si="55"/>
        <v>0</v>
      </c>
      <c r="AT26" s="278">
        <f t="shared" si="2"/>
        <v>0</v>
      </c>
      <c r="AU26" s="278">
        <f t="shared" si="3"/>
        <v>0</v>
      </c>
      <c r="AV26" s="279">
        <f t="shared" si="56"/>
        <v>1</v>
      </c>
      <c r="AX26" s="367"/>
      <c r="AY26" s="376" t="str">
        <f t="shared" si="57"/>
        <v/>
      </c>
      <c r="AZ26" s="377" t="str">
        <f t="shared" si="58"/>
        <v/>
      </c>
      <c r="BA26" s="380" t="str">
        <f t="shared" si="59"/>
        <v/>
      </c>
      <c r="BB26" s="386" t="str">
        <f t="shared" si="60"/>
        <v/>
      </c>
      <c r="BC26" s="378" t="str">
        <f t="shared" si="61"/>
        <v/>
      </c>
      <c r="BD26" s="379" t="str">
        <f t="shared" si="62"/>
        <v/>
      </c>
      <c r="BE26" s="367"/>
      <c r="BF26" s="367"/>
      <c r="BG26" s="376" t="str">
        <f t="shared" si="63"/>
        <v/>
      </c>
      <c r="BH26" s="377" t="str">
        <f t="shared" si="64"/>
        <v/>
      </c>
      <c r="BI26" s="380" t="str">
        <f t="shared" si="65"/>
        <v/>
      </c>
      <c r="BJ26" s="386" t="str">
        <f t="shared" si="66"/>
        <v/>
      </c>
      <c r="BK26" s="378" t="str">
        <f t="shared" si="67"/>
        <v/>
      </c>
      <c r="BL26" s="379" t="str">
        <f t="shared" si="68"/>
        <v/>
      </c>
      <c r="BM26" s="367"/>
      <c r="BN26" s="376" t="str">
        <f t="shared" si="103"/>
        <v/>
      </c>
      <c r="BO26" s="377" t="str">
        <f t="shared" si="104"/>
        <v/>
      </c>
      <c r="BP26" s="380" t="str">
        <f t="shared" si="105"/>
        <v/>
      </c>
      <c r="BQ26" s="386" t="str">
        <f t="shared" si="72"/>
        <v/>
      </c>
      <c r="BR26" s="378" t="str">
        <f t="shared" si="73"/>
        <v/>
      </c>
      <c r="BS26" s="379" t="str">
        <f t="shared" si="74"/>
        <v/>
      </c>
      <c r="BT26" s="367"/>
      <c r="BU26" s="376" t="str">
        <f t="shared" si="75"/>
        <v/>
      </c>
      <c r="BV26" s="377" t="str">
        <f t="shared" si="76"/>
        <v/>
      </c>
      <c r="BW26" s="380" t="str">
        <f t="shared" si="77"/>
        <v/>
      </c>
      <c r="BX26" s="386" t="str">
        <f t="shared" si="78"/>
        <v/>
      </c>
      <c r="BY26" s="378" t="str">
        <f t="shared" si="79"/>
        <v/>
      </c>
      <c r="BZ26" s="379" t="str">
        <f t="shared" si="80"/>
        <v/>
      </c>
      <c r="CA26" s="367"/>
      <c r="CB26" s="376">
        <f t="shared" si="101"/>
        <v>0</v>
      </c>
      <c r="CC26" s="377">
        <f t="shared" si="81"/>
        <v>9.5000000000000001E-2</v>
      </c>
      <c r="CD26" s="380">
        <f t="shared" si="82"/>
        <v>0.28142857142857125</v>
      </c>
      <c r="CE26" s="386">
        <f t="shared" si="83"/>
        <v>0</v>
      </c>
      <c r="CF26" s="378">
        <f t="shared" si="84"/>
        <v>6.8002863278453828E-3</v>
      </c>
      <c r="CG26" s="379">
        <f t="shared" si="85"/>
        <v>9.4629647420501426E-3</v>
      </c>
      <c r="CH26" s="367"/>
      <c r="CI26" s="367"/>
      <c r="CJ26" s="376" t="s">
        <v>71</v>
      </c>
      <c r="CK26" s="377" t="s">
        <v>71</v>
      </c>
      <c r="CL26" s="380" t="s">
        <v>71</v>
      </c>
      <c r="CM26" s="386" t="s">
        <v>71</v>
      </c>
      <c r="CN26" s="378" t="s">
        <v>71</v>
      </c>
      <c r="CO26" s="379" t="s">
        <v>71</v>
      </c>
      <c r="CP26" s="367"/>
      <c r="CQ26" s="367"/>
      <c r="CR26" s="376" t="s">
        <v>71</v>
      </c>
      <c r="CS26" s="377" t="s">
        <v>71</v>
      </c>
      <c r="CT26" s="380" t="s">
        <v>71</v>
      </c>
      <c r="CU26" s="386" t="s">
        <v>71</v>
      </c>
      <c r="CV26" s="378" t="s">
        <v>71</v>
      </c>
      <c r="CW26" s="379" t="s">
        <v>71</v>
      </c>
      <c r="CX26" s="367"/>
      <c r="CY26" s="376" t="s">
        <v>71</v>
      </c>
      <c r="CZ26" s="377" t="s">
        <v>71</v>
      </c>
      <c r="DA26" s="380" t="s">
        <v>71</v>
      </c>
      <c r="DB26" s="386" t="s">
        <v>71</v>
      </c>
      <c r="DC26" s="378" t="s">
        <v>71</v>
      </c>
      <c r="DD26" s="379" t="s">
        <v>71</v>
      </c>
      <c r="DE26" s="367"/>
      <c r="DF26" s="376" t="s">
        <v>71</v>
      </c>
      <c r="DG26" s="377" t="s">
        <v>71</v>
      </c>
      <c r="DH26" s="380" t="s">
        <v>71</v>
      </c>
      <c r="DI26" s="386" t="s">
        <v>71</v>
      </c>
      <c r="DJ26" s="378" t="s">
        <v>71</v>
      </c>
      <c r="DK26" s="379" t="s">
        <v>71</v>
      </c>
      <c r="DL26" s="367"/>
      <c r="DM26" s="376">
        <v>0</v>
      </c>
      <c r="DN26" s="377">
        <v>9.5000000000000001E-2</v>
      </c>
      <c r="DO26" s="380">
        <v>0.28142857142857125</v>
      </c>
      <c r="DP26" s="386">
        <v>0</v>
      </c>
      <c r="DQ26" s="378">
        <v>6.8002863278453828E-3</v>
      </c>
      <c r="DR26" s="379">
        <v>9.4629647420501426E-3</v>
      </c>
      <c r="DS26" s="367"/>
      <c r="DU26" s="249">
        <f t="shared" si="86"/>
        <v>0</v>
      </c>
      <c r="DV26" s="249">
        <f t="shared" si="106"/>
        <v>0</v>
      </c>
      <c r="DW26" s="249">
        <f t="shared" si="107"/>
        <v>0</v>
      </c>
      <c r="DX26" s="249">
        <f t="shared" si="108"/>
        <v>0</v>
      </c>
      <c r="DY26" s="249">
        <f t="shared" si="109"/>
        <v>3</v>
      </c>
      <c r="EA26" s="249">
        <f t="shared" si="9"/>
        <v>0</v>
      </c>
      <c r="EB26" s="249">
        <f t="shared" si="10"/>
        <v>0</v>
      </c>
      <c r="EC26" s="249">
        <f t="shared" si="11"/>
        <v>0</v>
      </c>
      <c r="ED26" s="249">
        <f t="shared" si="12"/>
        <v>0</v>
      </c>
      <c r="EE26" s="249">
        <f t="shared" si="13"/>
        <v>0</v>
      </c>
      <c r="EF26" s="249">
        <f t="shared" si="14"/>
        <v>0</v>
      </c>
      <c r="EH26" s="249">
        <f t="shared" si="15"/>
        <v>0</v>
      </c>
      <c r="EI26" s="249">
        <f t="shared" si="16"/>
        <v>0</v>
      </c>
      <c r="EJ26" s="249">
        <f t="shared" si="17"/>
        <v>0</v>
      </c>
      <c r="EK26" s="249">
        <f t="shared" si="18"/>
        <v>0</v>
      </c>
      <c r="EL26" s="249">
        <f t="shared" si="19"/>
        <v>0</v>
      </c>
      <c r="EM26" s="249">
        <f t="shared" si="20"/>
        <v>0</v>
      </c>
      <c r="EO26" s="249">
        <f t="shared" si="21"/>
        <v>0</v>
      </c>
      <c r="EP26" s="249">
        <f t="shared" si="22"/>
        <v>0</v>
      </c>
      <c r="EQ26" s="249">
        <f t="shared" si="23"/>
        <v>0</v>
      </c>
      <c r="ER26" s="249">
        <f t="shared" si="24"/>
        <v>0</v>
      </c>
      <c r="ES26" s="249">
        <f t="shared" si="25"/>
        <v>0</v>
      </c>
      <c r="ET26" s="249">
        <f t="shared" si="26"/>
        <v>0</v>
      </c>
      <c r="EV26" s="249">
        <f t="shared" si="27"/>
        <v>0</v>
      </c>
      <c r="EW26" s="249">
        <f t="shared" si="28"/>
        <v>0</v>
      </c>
      <c r="EX26" s="249">
        <f t="shared" si="29"/>
        <v>0</v>
      </c>
      <c r="EY26" s="249">
        <f t="shared" si="30"/>
        <v>0</v>
      </c>
      <c r="EZ26" s="249">
        <f t="shared" si="31"/>
        <v>0</v>
      </c>
      <c r="FA26" s="249">
        <f t="shared" si="32"/>
        <v>0</v>
      </c>
      <c r="FC26" s="249">
        <f t="shared" si="33"/>
        <v>0</v>
      </c>
      <c r="FD26" s="249">
        <f t="shared" si="34"/>
        <v>2</v>
      </c>
      <c r="FE26" s="249">
        <f t="shared" si="35"/>
        <v>2</v>
      </c>
      <c r="FF26" s="249">
        <f t="shared" si="36"/>
        <v>1</v>
      </c>
      <c r="FG26" s="249">
        <f t="shared" si="37"/>
        <v>1</v>
      </c>
      <c r="FH26" s="249">
        <f t="shared" si="38"/>
        <v>0</v>
      </c>
      <c r="FK26" s="240">
        <f t="shared" si="39"/>
        <v>0</v>
      </c>
      <c r="FL26" s="240" t="str">
        <f t="shared" si="91"/>
        <v>Pagua / Muña</v>
      </c>
      <c r="FM26" s="240">
        <f t="shared" si="92"/>
        <v>0</v>
      </c>
      <c r="FN26" s="240">
        <f t="shared" si="93"/>
        <v>0</v>
      </c>
      <c r="FO26" s="241">
        <f t="shared" si="40"/>
        <v>0</v>
      </c>
      <c r="FQ26" s="242">
        <f t="shared" si="41"/>
        <v>0</v>
      </c>
      <c r="FR26" s="240">
        <f t="shared" si="94"/>
        <v>0</v>
      </c>
      <c r="FS26" s="240" t="str">
        <f t="shared" si="95"/>
        <v>Pagua / Muña</v>
      </c>
      <c r="FT26" s="240">
        <f t="shared" si="96"/>
        <v>0</v>
      </c>
      <c r="FU26" s="241">
        <f t="shared" si="42"/>
        <v>0</v>
      </c>
      <c r="FW26" s="277">
        <f t="shared" si="43"/>
        <v>0</v>
      </c>
      <c r="FX26" s="278">
        <f t="shared" si="97"/>
        <v>0</v>
      </c>
      <c r="FY26" s="278">
        <f t="shared" si="98"/>
        <v>0</v>
      </c>
      <c r="FZ26" s="278" t="str">
        <f t="shared" si="99"/>
        <v>Pagua / Muña</v>
      </c>
      <c r="GA26" s="279">
        <f t="shared" si="44"/>
        <v>0</v>
      </c>
    </row>
    <row r="27" spans="1:183" x14ac:dyDescent="0.35">
      <c r="A27" s="333">
        <v>2000</v>
      </c>
      <c r="B27" s="158" t="s">
        <v>140</v>
      </c>
      <c r="C27" s="158">
        <v>24</v>
      </c>
      <c r="D27" s="325" t="s">
        <v>73</v>
      </c>
      <c r="E27" s="324" t="s">
        <v>85</v>
      </c>
      <c r="F27" s="269">
        <f t="shared" si="100"/>
        <v>20</v>
      </c>
      <c r="G27" s="280">
        <f>+COUNT('URRÁ S.A. E..S.P. - URRÁ'!D23:D26)</f>
        <v>1</v>
      </c>
      <c r="H27" s="281">
        <f>+COUNT('URRÁ S.A. E..S.P. - URRÁ'!E23:E26)</f>
        <v>2</v>
      </c>
      <c r="I27" s="281">
        <f>+COUNT('URRÁ S.A. E..S.P. - URRÁ'!F23:F26)</f>
        <v>2</v>
      </c>
      <c r="J27" s="281">
        <f>+COUNT('URRÁ S.A. E..S.P. - URRÁ'!G23:G26)</f>
        <v>1</v>
      </c>
      <c r="K27" s="281">
        <f>+COUNT('URRÁ S.A. E..S.P. - URRÁ'!H23:H26)</f>
        <v>1</v>
      </c>
      <c r="L27" s="281"/>
      <c r="M27" s="294"/>
      <c r="N27" s="282">
        <f>COUNT('URRÁ S.A. E..S.P. - URRÁ'!C23:C26)</f>
        <v>4</v>
      </c>
      <c r="O27" s="280">
        <v>340</v>
      </c>
      <c r="P27" s="329">
        <v>1300</v>
      </c>
      <c r="Q27" s="295">
        <f>'URRÁ S.A. E..S.P. - URRÁ'!J24</f>
        <v>40.909999999999997</v>
      </c>
      <c r="R27" s="296">
        <f>'URRÁ S.A. E..S.P. - URRÁ'!J26</f>
        <v>50.79</v>
      </c>
      <c r="S27" s="295">
        <f>'URRÁ S.A. E..S.P. - URRÁ'!K24</f>
        <v>1463.66</v>
      </c>
      <c r="T27" s="296">
        <f>'URRÁ S.A. E..S.P. - URRÁ'!K26</f>
        <v>1288.7</v>
      </c>
      <c r="U27" s="295">
        <f>'URRÁ S.A. E..S.P. - URRÁ'!L24</f>
        <v>1863.54</v>
      </c>
      <c r="V27" s="296">
        <f>'URRÁ S.A. E..S.P. - URRÁ'!L26</f>
        <v>1644.91</v>
      </c>
      <c r="W27" s="288">
        <f t="shared" si="45"/>
        <v>-0.24150574431679303</v>
      </c>
      <c r="X27" s="289">
        <f t="shared" si="46"/>
        <v>0.11953595780440815</v>
      </c>
      <c r="Y27" s="290">
        <f t="shared" si="47"/>
        <v>0.11731972482479576</v>
      </c>
      <c r="Z27" s="367"/>
      <c r="AA27" s="376">
        <f>'URRÁ S.A. E..S.P. - URRÁ'!O32</f>
        <v>-2.7053669222343929E-3</v>
      </c>
      <c r="AB27" s="377">
        <f>'URRÁ S.A. E..S.P. - URRÁ'!P32</f>
        <v>4.7907995618839003E-2</v>
      </c>
      <c r="AC27" s="380">
        <f>'URRÁ S.A. E..S.P. - URRÁ'!Q32</f>
        <v>5.9865826944140166E-2</v>
      </c>
      <c r="AD27" s="386">
        <f>'URRÁ S.A. E..S.P. - URRÁ'!O33</f>
        <v>-6.6129721883021096E-5</v>
      </c>
      <c r="AE27" s="378">
        <f>'URRÁ S.A. E..S.P. - URRÁ'!P33</f>
        <v>3.2731642334175286E-5</v>
      </c>
      <c r="AF27" s="379">
        <f>'URRÁ S.A. E..S.P. - URRÁ'!Q33</f>
        <v>3.2124787739538814E-5</v>
      </c>
      <c r="AG27" s="367"/>
      <c r="AH27" s="367"/>
      <c r="AI27" s="376" t="str">
        <f t="shared" si="48"/>
        <v/>
      </c>
      <c r="AJ27" s="377">
        <f t="shared" si="49"/>
        <v>4.7907995618839003E-2</v>
      </c>
      <c r="AK27" s="380">
        <f t="shared" si="50"/>
        <v>5.9865826944140166E-2</v>
      </c>
      <c r="AL27" s="386" t="str">
        <f t="shared" si="51"/>
        <v/>
      </c>
      <c r="AM27" s="378">
        <f t="shared" si="52"/>
        <v>3.2731642334175286E-5</v>
      </c>
      <c r="AN27" s="379">
        <f t="shared" si="53"/>
        <v>3.2124787739538814E-5</v>
      </c>
      <c r="AO27" s="367"/>
      <c r="AP27" s="350">
        <f t="shared" si="102"/>
        <v>1</v>
      </c>
      <c r="AQ27" s="368"/>
      <c r="AR27" s="277">
        <f t="shared" si="1"/>
        <v>0</v>
      </c>
      <c r="AS27" s="278">
        <f t="shared" si="55"/>
        <v>0</v>
      </c>
      <c r="AT27" s="278">
        <f t="shared" si="2"/>
        <v>1</v>
      </c>
      <c r="AU27" s="278">
        <f t="shared" si="3"/>
        <v>0</v>
      </c>
      <c r="AV27" s="279">
        <f t="shared" si="56"/>
        <v>0</v>
      </c>
      <c r="AX27" s="367"/>
      <c r="AY27" s="376" t="str">
        <f t="shared" si="57"/>
        <v/>
      </c>
      <c r="AZ27" s="377" t="str">
        <f t="shared" si="58"/>
        <v/>
      </c>
      <c r="BA27" s="380" t="str">
        <f t="shared" si="59"/>
        <v/>
      </c>
      <c r="BB27" s="386" t="str">
        <f t="shared" si="60"/>
        <v/>
      </c>
      <c r="BC27" s="378" t="str">
        <f t="shared" si="61"/>
        <v/>
      </c>
      <c r="BD27" s="379" t="str">
        <f t="shared" si="62"/>
        <v/>
      </c>
      <c r="BE27" s="367"/>
      <c r="BF27" s="367"/>
      <c r="BG27" s="376" t="str">
        <f t="shared" si="63"/>
        <v/>
      </c>
      <c r="BH27" s="377" t="str">
        <f t="shared" si="64"/>
        <v/>
      </c>
      <c r="BI27" s="380" t="str">
        <f t="shared" si="65"/>
        <v/>
      </c>
      <c r="BJ27" s="386" t="str">
        <f t="shared" si="66"/>
        <v/>
      </c>
      <c r="BK27" s="378" t="str">
        <f t="shared" si="67"/>
        <v/>
      </c>
      <c r="BL27" s="379" t="str">
        <f t="shared" si="68"/>
        <v/>
      </c>
      <c r="BM27" s="367"/>
      <c r="BN27" s="376">
        <f t="shared" si="103"/>
        <v>-2.7053669222343929E-3</v>
      </c>
      <c r="BO27" s="377">
        <f t="shared" si="104"/>
        <v>4.7907995618839003E-2</v>
      </c>
      <c r="BP27" s="380">
        <f t="shared" si="105"/>
        <v>5.9865826944140166E-2</v>
      </c>
      <c r="BQ27" s="386">
        <f t="shared" si="72"/>
        <v>-6.6129721883021096E-5</v>
      </c>
      <c r="BR27" s="378">
        <f t="shared" si="73"/>
        <v>3.2731642334175286E-5</v>
      </c>
      <c r="BS27" s="379">
        <f t="shared" si="74"/>
        <v>3.2124787739538814E-5</v>
      </c>
      <c r="BT27" s="367"/>
      <c r="BU27" s="376" t="str">
        <f t="shared" si="75"/>
        <v/>
      </c>
      <c r="BV27" s="377" t="str">
        <f t="shared" si="76"/>
        <v/>
      </c>
      <c r="BW27" s="380" t="str">
        <f t="shared" si="77"/>
        <v/>
      </c>
      <c r="BX27" s="386" t="str">
        <f t="shared" si="78"/>
        <v/>
      </c>
      <c r="BY27" s="378" t="str">
        <f t="shared" si="79"/>
        <v/>
      </c>
      <c r="BZ27" s="379" t="str">
        <f t="shared" si="80"/>
        <v/>
      </c>
      <c r="CA27" s="367"/>
      <c r="CB27" s="376" t="str">
        <f t="shared" si="101"/>
        <v/>
      </c>
      <c r="CC27" s="377" t="str">
        <f t="shared" si="81"/>
        <v/>
      </c>
      <c r="CD27" s="380" t="str">
        <f t="shared" si="82"/>
        <v/>
      </c>
      <c r="CE27" s="386" t="str">
        <f t="shared" si="83"/>
        <v/>
      </c>
      <c r="CF27" s="378" t="str">
        <f t="shared" si="84"/>
        <v/>
      </c>
      <c r="CG27" s="379" t="str">
        <f t="shared" si="85"/>
        <v/>
      </c>
      <c r="CH27" s="367"/>
      <c r="CI27" s="367"/>
      <c r="CJ27" s="376" t="s">
        <v>71</v>
      </c>
      <c r="CK27" s="377" t="s">
        <v>71</v>
      </c>
      <c r="CL27" s="380" t="s">
        <v>71</v>
      </c>
      <c r="CM27" s="386" t="s">
        <v>71</v>
      </c>
      <c r="CN27" s="378" t="s">
        <v>71</v>
      </c>
      <c r="CO27" s="379" t="s">
        <v>71</v>
      </c>
      <c r="CP27" s="367"/>
      <c r="CQ27" s="367"/>
      <c r="CR27" s="376" t="s">
        <v>71</v>
      </c>
      <c r="CS27" s="377" t="s">
        <v>71</v>
      </c>
      <c r="CT27" s="380" t="s">
        <v>71</v>
      </c>
      <c r="CU27" s="386" t="s">
        <v>71</v>
      </c>
      <c r="CV27" s="378" t="s">
        <v>71</v>
      </c>
      <c r="CW27" s="379" t="s">
        <v>71</v>
      </c>
      <c r="CX27" s="367"/>
      <c r="CY27" s="376">
        <v>-2.7053669222343929E-3</v>
      </c>
      <c r="CZ27" s="377">
        <v>4.7907995618839003E-2</v>
      </c>
      <c r="DA27" s="380">
        <v>5.9865826944140166E-2</v>
      </c>
      <c r="DB27" s="386"/>
      <c r="DC27" s="378">
        <v>3.2731642334175286E-5</v>
      </c>
      <c r="DD27" s="379">
        <v>3.2124787739538814E-5</v>
      </c>
      <c r="DE27" s="367"/>
      <c r="DF27" s="376" t="s">
        <v>71</v>
      </c>
      <c r="DG27" s="377" t="s">
        <v>71</v>
      </c>
      <c r="DH27" s="380" t="s">
        <v>71</v>
      </c>
      <c r="DI27" s="386" t="s">
        <v>71</v>
      </c>
      <c r="DJ27" s="378" t="s">
        <v>71</v>
      </c>
      <c r="DK27" s="379" t="s">
        <v>71</v>
      </c>
      <c r="DL27" s="367"/>
      <c r="DM27" s="376" t="s">
        <v>71</v>
      </c>
      <c r="DN27" s="377" t="s">
        <v>71</v>
      </c>
      <c r="DO27" s="380" t="s">
        <v>71</v>
      </c>
      <c r="DP27" s="386" t="s">
        <v>71</v>
      </c>
      <c r="DQ27" s="378" t="s">
        <v>71</v>
      </c>
      <c r="DR27" s="379" t="s">
        <v>71</v>
      </c>
      <c r="DS27" s="367"/>
      <c r="DU27" s="249">
        <f t="shared" si="86"/>
        <v>0</v>
      </c>
      <c r="DV27" s="249">
        <f t="shared" si="106"/>
        <v>0</v>
      </c>
      <c r="DW27" s="249">
        <f t="shared" si="107"/>
        <v>4</v>
      </c>
      <c r="DX27" s="249">
        <f t="shared" si="108"/>
        <v>0</v>
      </c>
      <c r="DY27" s="249">
        <f t="shared" si="109"/>
        <v>0</v>
      </c>
      <c r="EA27" s="249">
        <f t="shared" si="9"/>
        <v>0</v>
      </c>
      <c r="EB27" s="249">
        <f t="shared" si="10"/>
        <v>0</v>
      </c>
      <c r="EC27" s="249">
        <f t="shared" si="11"/>
        <v>0</v>
      </c>
      <c r="ED27" s="249">
        <f t="shared" si="12"/>
        <v>0</v>
      </c>
      <c r="EE27" s="249">
        <f t="shared" si="13"/>
        <v>0</v>
      </c>
      <c r="EF27" s="249">
        <f t="shared" si="14"/>
        <v>0</v>
      </c>
      <c r="EH27" s="249">
        <f t="shared" si="15"/>
        <v>0</v>
      </c>
      <c r="EI27" s="249">
        <f t="shared" si="16"/>
        <v>0</v>
      </c>
      <c r="EJ27" s="249">
        <f t="shared" si="17"/>
        <v>0</v>
      </c>
      <c r="EK27" s="249">
        <f t="shared" si="18"/>
        <v>0</v>
      </c>
      <c r="EL27" s="249">
        <f t="shared" si="19"/>
        <v>0</v>
      </c>
      <c r="EM27" s="249">
        <f t="shared" si="20"/>
        <v>0</v>
      </c>
      <c r="EO27" s="249">
        <f t="shared" si="21"/>
        <v>1</v>
      </c>
      <c r="EP27" s="249">
        <f t="shared" si="22"/>
        <v>2</v>
      </c>
      <c r="EQ27" s="249">
        <f t="shared" si="23"/>
        <v>2</v>
      </c>
      <c r="ER27" s="249">
        <f t="shared" si="24"/>
        <v>1</v>
      </c>
      <c r="ES27" s="249">
        <f t="shared" si="25"/>
        <v>1</v>
      </c>
      <c r="ET27" s="249">
        <f t="shared" si="26"/>
        <v>0</v>
      </c>
      <c r="EV27" s="249">
        <f t="shared" si="27"/>
        <v>0</v>
      </c>
      <c r="EW27" s="249">
        <f t="shared" si="28"/>
        <v>0</v>
      </c>
      <c r="EX27" s="249">
        <f t="shared" si="29"/>
        <v>0</v>
      </c>
      <c r="EY27" s="249">
        <f t="shared" si="30"/>
        <v>0</v>
      </c>
      <c r="EZ27" s="249">
        <f t="shared" si="31"/>
        <v>0</v>
      </c>
      <c r="FA27" s="249">
        <f t="shared" si="32"/>
        <v>0</v>
      </c>
      <c r="FC27" s="249">
        <f t="shared" si="33"/>
        <v>0</v>
      </c>
      <c r="FD27" s="249">
        <f t="shared" si="34"/>
        <v>0</v>
      </c>
      <c r="FE27" s="249">
        <f t="shared" si="35"/>
        <v>0</v>
      </c>
      <c r="FF27" s="249">
        <f t="shared" si="36"/>
        <v>0</v>
      </c>
      <c r="FG27" s="249">
        <f t="shared" si="37"/>
        <v>0</v>
      </c>
      <c r="FH27" s="249">
        <f t="shared" si="38"/>
        <v>0</v>
      </c>
      <c r="FK27" s="240" t="str">
        <f t="shared" si="39"/>
        <v>Urrá</v>
      </c>
      <c r="FL27" s="240">
        <f t="shared" si="91"/>
        <v>0</v>
      </c>
      <c r="FM27" s="240">
        <f t="shared" si="92"/>
        <v>0</v>
      </c>
      <c r="FN27" s="240">
        <f t="shared" si="93"/>
        <v>0</v>
      </c>
      <c r="FO27" s="241">
        <f t="shared" si="40"/>
        <v>0</v>
      </c>
      <c r="FQ27" s="242">
        <f t="shared" si="41"/>
        <v>0</v>
      </c>
      <c r="FR27" s="240">
        <f t="shared" si="94"/>
        <v>0</v>
      </c>
      <c r="FS27" s="240">
        <f t="shared" si="95"/>
        <v>0</v>
      </c>
      <c r="FT27" s="240" t="str">
        <f t="shared" si="96"/>
        <v>Urrá</v>
      </c>
      <c r="FU27" s="241">
        <f t="shared" si="42"/>
        <v>0</v>
      </c>
      <c r="FW27" s="277">
        <f t="shared" si="43"/>
        <v>0</v>
      </c>
      <c r="FX27" s="278">
        <f t="shared" si="97"/>
        <v>0</v>
      </c>
      <c r="FY27" s="278">
        <f t="shared" si="98"/>
        <v>0</v>
      </c>
      <c r="FZ27" s="278" t="str">
        <f t="shared" si="99"/>
        <v>Urrá</v>
      </c>
      <c r="GA27" s="279">
        <f t="shared" si="44"/>
        <v>0</v>
      </c>
    </row>
    <row r="28" spans="1:183" ht="15" thickBot="1" x14ac:dyDescent="0.4">
      <c r="A28" s="334">
        <v>1977</v>
      </c>
      <c r="B28" s="322" t="s">
        <v>139</v>
      </c>
      <c r="C28" s="322">
        <v>25</v>
      </c>
      <c r="D28" s="326" t="s">
        <v>201</v>
      </c>
      <c r="E28" s="327" t="s">
        <v>86</v>
      </c>
      <c r="F28" s="609">
        <f t="shared" si="100"/>
        <v>43</v>
      </c>
      <c r="G28" s="299">
        <f>COUNT('AES - COLOMBIA'!D24:D40)</f>
        <v>1</v>
      </c>
      <c r="H28" s="300">
        <f>COUNT('AES - COLOMBIA'!E24:E40)</f>
        <v>0</v>
      </c>
      <c r="I28" s="300">
        <f>COUNT('AES - COLOMBIA'!F24:F40)</f>
        <v>3</v>
      </c>
      <c r="J28" s="300">
        <f>COUNT('AES - COLOMBIA'!G24:G40)</f>
        <v>2</v>
      </c>
      <c r="K28" s="300">
        <f>COUNT('AES - COLOMBIA'!H24:H40)</f>
        <v>0</v>
      </c>
      <c r="L28" s="300">
        <v>2</v>
      </c>
      <c r="M28" s="301" t="s">
        <v>65</v>
      </c>
      <c r="N28" s="302">
        <f>COUNT('AES - COLOMBIA'!C24:C40)</f>
        <v>6</v>
      </c>
      <c r="O28" s="299">
        <v>1000</v>
      </c>
      <c r="P28" s="331">
        <v>4064</v>
      </c>
      <c r="Q28" s="319">
        <f>'AES - COLOMBIA'!J31</f>
        <v>36.49</v>
      </c>
      <c r="R28" s="320">
        <f>'AES - COLOMBIA'!J38</f>
        <v>9.61</v>
      </c>
      <c r="S28" s="319">
        <f>'AES - COLOMBIA'!K31</f>
        <v>593.42999999999995</v>
      </c>
      <c r="T28" s="320">
        <f>'AES - COLOMBIA'!K38</f>
        <v>582.91999999999996</v>
      </c>
      <c r="U28" s="319">
        <f>'AES - COLOMBIA'!L31</f>
        <v>650.6</v>
      </c>
      <c r="V28" s="320">
        <f>'AES - COLOMBIA'!L38</f>
        <v>613.24</v>
      </c>
      <c r="W28" s="303">
        <f t="shared" si="45"/>
        <v>0.73664017539051796</v>
      </c>
      <c r="X28" s="304">
        <f t="shared" si="46"/>
        <v>1.771059771160877E-2</v>
      </c>
      <c r="Y28" s="305">
        <f t="shared" si="47"/>
        <v>5.7423916384875519E-2</v>
      </c>
      <c r="Z28" s="367"/>
      <c r="AA28" s="376">
        <f>'AES - COLOMBIA'!O32</f>
        <v>1.2218181818181819</v>
      </c>
      <c r="AB28" s="377">
        <f>'AES - COLOMBIA'!P32</f>
        <v>0.47772727272727233</v>
      </c>
      <c r="AC28" s="380">
        <f>'AES - COLOMBIA'!Q32</f>
        <v>1.6981818181818189</v>
      </c>
      <c r="AD28" s="386">
        <f>'AES - COLOMBIA'!O33</f>
        <v>3.3483644335932636E-2</v>
      </c>
      <c r="AE28" s="378">
        <f>'AES - COLOMBIA'!P33</f>
        <v>8.0502716870948956E-4</v>
      </c>
      <c r="AF28" s="379">
        <f>'AES - COLOMBIA'!Q33</f>
        <v>2.6101780174943418E-3</v>
      </c>
      <c r="AG28" s="367"/>
      <c r="AH28" s="367"/>
      <c r="AI28" s="381">
        <f t="shared" si="48"/>
        <v>1.2218181818181819</v>
      </c>
      <c r="AJ28" s="382">
        <f t="shared" si="49"/>
        <v>0.47772727272727233</v>
      </c>
      <c r="AK28" s="389">
        <f t="shared" si="50"/>
        <v>1.6981818181818189</v>
      </c>
      <c r="AL28" s="387">
        <f t="shared" si="51"/>
        <v>3.3483644335932636E-2</v>
      </c>
      <c r="AM28" s="383">
        <f t="shared" si="52"/>
        <v>8.0502716870948956E-4</v>
      </c>
      <c r="AN28" s="384">
        <f t="shared" si="53"/>
        <v>2.6101780174943418E-3</v>
      </c>
      <c r="AO28" s="367"/>
      <c r="AP28" s="350">
        <f t="shared" si="102"/>
        <v>1</v>
      </c>
      <c r="AQ28" s="368"/>
      <c r="AR28" s="260">
        <f t="shared" si="1"/>
        <v>0</v>
      </c>
      <c r="AS28" s="261">
        <f t="shared" si="55"/>
        <v>0</v>
      </c>
      <c r="AT28" s="261">
        <f t="shared" si="2"/>
        <v>0</v>
      </c>
      <c r="AU28" s="261">
        <f t="shared" si="3"/>
        <v>0</v>
      </c>
      <c r="AV28" s="262">
        <f t="shared" si="56"/>
        <v>1</v>
      </c>
      <c r="AX28" s="367"/>
      <c r="AY28" s="381" t="str">
        <f t="shared" si="57"/>
        <v/>
      </c>
      <c r="AZ28" s="382" t="str">
        <f t="shared" si="58"/>
        <v/>
      </c>
      <c r="BA28" s="389" t="str">
        <f t="shared" si="59"/>
        <v/>
      </c>
      <c r="BB28" s="387" t="str">
        <f t="shared" si="60"/>
        <v/>
      </c>
      <c r="BC28" s="383" t="str">
        <f t="shared" si="61"/>
        <v/>
      </c>
      <c r="BD28" s="384" t="str">
        <f t="shared" si="62"/>
        <v/>
      </c>
      <c r="BE28" s="367"/>
      <c r="BF28" s="367"/>
      <c r="BG28" s="381" t="str">
        <f t="shared" si="63"/>
        <v/>
      </c>
      <c r="BH28" s="382" t="str">
        <f t="shared" si="64"/>
        <v/>
      </c>
      <c r="BI28" s="389" t="str">
        <f t="shared" si="65"/>
        <v/>
      </c>
      <c r="BJ28" s="387" t="str">
        <f t="shared" si="66"/>
        <v/>
      </c>
      <c r="BK28" s="383" t="str">
        <f t="shared" si="67"/>
        <v/>
      </c>
      <c r="BL28" s="384" t="str">
        <f t="shared" si="68"/>
        <v/>
      </c>
      <c r="BM28" s="367"/>
      <c r="BN28" s="381" t="str">
        <f t="shared" si="103"/>
        <v/>
      </c>
      <c r="BO28" s="382" t="str">
        <f t="shared" si="104"/>
        <v/>
      </c>
      <c r="BP28" s="389" t="str">
        <f t="shared" si="105"/>
        <v/>
      </c>
      <c r="BQ28" s="387" t="str">
        <f t="shared" si="72"/>
        <v/>
      </c>
      <c r="BR28" s="383" t="str">
        <f t="shared" si="73"/>
        <v/>
      </c>
      <c r="BS28" s="384" t="str">
        <f t="shared" si="74"/>
        <v/>
      </c>
      <c r="BT28" s="367"/>
      <c r="BU28" s="381" t="str">
        <f t="shared" si="75"/>
        <v/>
      </c>
      <c r="BV28" s="382" t="str">
        <f t="shared" si="76"/>
        <v/>
      </c>
      <c r="BW28" s="389" t="str">
        <f t="shared" si="77"/>
        <v/>
      </c>
      <c r="BX28" s="387" t="str">
        <f t="shared" si="78"/>
        <v/>
      </c>
      <c r="BY28" s="383" t="str">
        <f t="shared" si="79"/>
        <v/>
      </c>
      <c r="BZ28" s="384" t="str">
        <f t="shared" si="80"/>
        <v/>
      </c>
      <c r="CA28" s="367"/>
      <c r="CB28" s="381">
        <f t="shared" si="101"/>
        <v>1.2218181818181819</v>
      </c>
      <c r="CC28" s="382">
        <f t="shared" si="81"/>
        <v>0.47772727272727233</v>
      </c>
      <c r="CD28" s="389">
        <f t="shared" si="82"/>
        <v>1.6981818181818189</v>
      </c>
      <c r="CE28" s="387">
        <f t="shared" si="83"/>
        <v>3.3483644335932636E-2</v>
      </c>
      <c r="CF28" s="383">
        <f t="shared" si="84"/>
        <v>8.0502716870948956E-4</v>
      </c>
      <c r="CG28" s="384">
        <f t="shared" si="85"/>
        <v>2.6101780174943418E-3</v>
      </c>
      <c r="CH28" s="367"/>
      <c r="CI28" s="367"/>
      <c r="CJ28" s="381" t="s">
        <v>71</v>
      </c>
      <c r="CK28" s="382" t="s">
        <v>71</v>
      </c>
      <c r="CL28" s="389" t="s">
        <v>71</v>
      </c>
      <c r="CM28" s="387" t="s">
        <v>71</v>
      </c>
      <c r="CN28" s="383" t="s">
        <v>71</v>
      </c>
      <c r="CO28" s="384" t="s">
        <v>71</v>
      </c>
      <c r="CP28" s="367"/>
      <c r="CQ28" s="367"/>
      <c r="CR28" s="381" t="s">
        <v>71</v>
      </c>
      <c r="CS28" s="382" t="s">
        <v>71</v>
      </c>
      <c r="CT28" s="389" t="s">
        <v>71</v>
      </c>
      <c r="CU28" s="387" t="s">
        <v>71</v>
      </c>
      <c r="CV28" s="383" t="s">
        <v>71</v>
      </c>
      <c r="CW28" s="384" t="s">
        <v>71</v>
      </c>
      <c r="CX28" s="367"/>
      <c r="CY28" s="381" t="s">
        <v>71</v>
      </c>
      <c r="CZ28" s="382" t="s">
        <v>71</v>
      </c>
      <c r="DA28" s="389" t="s">
        <v>71</v>
      </c>
      <c r="DB28" s="387" t="s">
        <v>71</v>
      </c>
      <c r="DC28" s="383" t="s">
        <v>71</v>
      </c>
      <c r="DD28" s="384" t="s">
        <v>71</v>
      </c>
      <c r="DE28" s="367"/>
      <c r="DF28" s="381" t="s">
        <v>71</v>
      </c>
      <c r="DG28" s="382" t="s">
        <v>71</v>
      </c>
      <c r="DH28" s="389" t="s">
        <v>71</v>
      </c>
      <c r="DI28" s="387" t="s">
        <v>71</v>
      </c>
      <c r="DJ28" s="383" t="s">
        <v>71</v>
      </c>
      <c r="DK28" s="384" t="s">
        <v>71</v>
      </c>
      <c r="DL28" s="367"/>
      <c r="DM28" s="381">
        <v>1.1423529411764708</v>
      </c>
      <c r="DN28" s="382">
        <v>0.34352941176470109</v>
      </c>
      <c r="DO28" s="389">
        <v>1.3317647058823521</v>
      </c>
      <c r="DP28" s="387">
        <v>3.1305917817935618E-2</v>
      </c>
      <c r="DQ28" s="383">
        <v>5.7888784147195303E-4</v>
      </c>
      <c r="DR28" s="384">
        <v>2.0469792589645742E-3</v>
      </c>
      <c r="DS28" s="367"/>
      <c r="DU28" s="249">
        <f t="shared" si="86"/>
        <v>0</v>
      </c>
      <c r="DV28" s="249">
        <f t="shared" si="106"/>
        <v>0</v>
      </c>
      <c r="DW28" s="249">
        <f t="shared" si="107"/>
        <v>0</v>
      </c>
      <c r="DX28" s="249">
        <f t="shared" si="108"/>
        <v>0</v>
      </c>
      <c r="DY28" s="249">
        <f>IF(AV28=1,$N28,0)</f>
        <v>6</v>
      </c>
      <c r="EA28" s="249">
        <f t="shared" si="9"/>
        <v>0</v>
      </c>
      <c r="EB28" s="249">
        <f t="shared" si="10"/>
        <v>0</v>
      </c>
      <c r="EC28" s="249">
        <f t="shared" si="11"/>
        <v>0</v>
      </c>
      <c r="ED28" s="249">
        <f t="shared" si="12"/>
        <v>0</v>
      </c>
      <c r="EE28" s="249">
        <f t="shared" si="13"/>
        <v>0</v>
      </c>
      <c r="EF28" s="249">
        <f t="shared" si="14"/>
        <v>0</v>
      </c>
      <c r="EH28" s="249">
        <f t="shared" si="15"/>
        <v>0</v>
      </c>
      <c r="EI28" s="249">
        <f t="shared" si="16"/>
        <v>0</v>
      </c>
      <c r="EJ28" s="249">
        <f t="shared" si="17"/>
        <v>0</v>
      </c>
      <c r="EK28" s="249">
        <f t="shared" si="18"/>
        <v>0</v>
      </c>
      <c r="EL28" s="249">
        <f t="shared" si="19"/>
        <v>0</v>
      </c>
      <c r="EM28" s="249">
        <f t="shared" si="20"/>
        <v>0</v>
      </c>
      <c r="EO28" s="249">
        <f t="shared" si="21"/>
        <v>0</v>
      </c>
      <c r="EP28" s="249">
        <f t="shared" si="22"/>
        <v>0</v>
      </c>
      <c r="EQ28" s="249">
        <f t="shared" si="23"/>
        <v>0</v>
      </c>
      <c r="ER28" s="249">
        <f t="shared" si="24"/>
        <v>0</v>
      </c>
      <c r="ES28" s="249">
        <f t="shared" si="25"/>
        <v>0</v>
      </c>
      <c r="ET28" s="249">
        <f t="shared" si="26"/>
        <v>0</v>
      </c>
      <c r="EV28" s="249">
        <f t="shared" si="27"/>
        <v>0</v>
      </c>
      <c r="EW28" s="249">
        <f t="shared" si="28"/>
        <v>0</v>
      </c>
      <c r="EX28" s="249">
        <f t="shared" si="29"/>
        <v>0</v>
      </c>
      <c r="EY28" s="249">
        <f t="shared" si="30"/>
        <v>0</v>
      </c>
      <c r="EZ28" s="249">
        <f t="shared" si="31"/>
        <v>0</v>
      </c>
      <c r="FA28" s="249">
        <f t="shared" si="32"/>
        <v>0</v>
      </c>
      <c r="FC28" s="249">
        <f t="shared" si="33"/>
        <v>1</v>
      </c>
      <c r="FD28" s="249">
        <f t="shared" si="34"/>
        <v>0</v>
      </c>
      <c r="FE28" s="249">
        <f t="shared" si="35"/>
        <v>3</v>
      </c>
      <c r="FF28" s="249">
        <f t="shared" si="36"/>
        <v>2</v>
      </c>
      <c r="FG28" s="249">
        <f t="shared" si="37"/>
        <v>0</v>
      </c>
      <c r="FH28" s="249">
        <f t="shared" si="38"/>
        <v>2</v>
      </c>
      <c r="FK28" s="240">
        <f t="shared" si="39"/>
        <v>0</v>
      </c>
      <c r="FL28" s="240">
        <f t="shared" si="91"/>
        <v>0</v>
      </c>
      <c r="FM28" s="240">
        <f t="shared" si="92"/>
        <v>0</v>
      </c>
      <c r="FN28" s="240">
        <f t="shared" si="93"/>
        <v>0</v>
      </c>
      <c r="FO28" s="241" t="str">
        <f t="shared" si="40"/>
        <v>Chivor</v>
      </c>
      <c r="FQ28" s="242">
        <f t="shared" si="41"/>
        <v>0</v>
      </c>
      <c r="FR28" s="240" t="str">
        <f t="shared" si="94"/>
        <v>Chivor</v>
      </c>
      <c r="FS28" s="240">
        <f t="shared" si="95"/>
        <v>0</v>
      </c>
      <c r="FT28" s="240">
        <f t="shared" si="96"/>
        <v>0</v>
      </c>
      <c r="FU28" s="241">
        <f t="shared" si="42"/>
        <v>0</v>
      </c>
      <c r="FW28" s="277">
        <f t="shared" si="43"/>
        <v>0</v>
      </c>
      <c r="FX28" s="278">
        <f t="shared" si="97"/>
        <v>0</v>
      </c>
      <c r="FY28" s="278" t="str">
        <f t="shared" si="98"/>
        <v>Chivor</v>
      </c>
      <c r="FZ28" s="278">
        <f t="shared" si="99"/>
        <v>0</v>
      </c>
      <c r="GA28" s="279">
        <f t="shared" si="44"/>
        <v>0</v>
      </c>
    </row>
    <row r="29" spans="1:183" ht="15" thickBot="1" x14ac:dyDescent="0.4">
      <c r="N29" s="276"/>
      <c r="W29" s="349">
        <f>AVERAGE(W4:W28)</f>
        <v>8.7767622566514478E-2</v>
      </c>
      <c r="X29" s="349">
        <f t="shared" ref="X29:Y29" si="126">AVERAGE(X4:X28)</f>
        <v>1.4352802274026814E-4</v>
      </c>
      <c r="Y29" s="349">
        <f t="shared" si="126"/>
        <v>1.6486096896432927E-2</v>
      </c>
      <c r="Z29" s="349"/>
      <c r="AA29" s="392">
        <f>AVERAGE(AA4:AA28)</f>
        <v>0.17739918472983238</v>
      </c>
      <c r="AB29" s="392">
        <f t="shared" ref="AB29" si="127">AVERAGE(AB4:AB28)</f>
        <v>0.50542339552456528</v>
      </c>
      <c r="AC29" s="392">
        <f t="shared" ref="AC29" si="128">AVERAGE(AC4:AC28)</f>
        <v>0.88308023372963962</v>
      </c>
      <c r="AD29" s="393">
        <f t="shared" ref="AD29" si="129">AVERAGE(AD4:AD28)</f>
        <v>7.0014702207620615E-3</v>
      </c>
      <c r="AE29" s="393">
        <f>AVERAGE(AE4:AE28)</f>
        <v>-3.498013407218469E-5</v>
      </c>
      <c r="AF29" s="393">
        <f t="shared" ref="AF29" si="130">AVERAGE(AF4:AF28)</f>
        <v>9.8624030333878897E-4</v>
      </c>
      <c r="AG29" s="390"/>
      <c r="AH29" s="391" t="s">
        <v>116</v>
      </c>
      <c r="AI29" s="392">
        <f>AVERAGE(AI4:AI28)</f>
        <v>0.50201036200467153</v>
      </c>
      <c r="AJ29" s="392">
        <f t="shared" ref="AJ29:AN29" si="131">AVERAGE(AJ4:AJ28)</f>
        <v>1.5572069666652117</v>
      </c>
      <c r="AK29" s="392">
        <f t="shared" si="131"/>
        <v>2.2204955402697197</v>
      </c>
      <c r="AL29" s="393">
        <f t="shared" si="131"/>
        <v>1.5646997150868286E-2</v>
      </c>
      <c r="AM29" s="393">
        <f t="shared" si="131"/>
        <v>3.7225695741559595E-3</v>
      </c>
      <c r="AN29" s="393">
        <f t="shared" si="131"/>
        <v>4.3799648560706866E-3</v>
      </c>
      <c r="AO29" s="349"/>
      <c r="AP29" s="350">
        <f t="shared" si="102"/>
        <v>1</v>
      </c>
      <c r="AQ29" s="369"/>
      <c r="AR29" s="306">
        <f>SUM(AR4:AR28)</f>
        <v>2</v>
      </c>
      <c r="AS29" s="306">
        <f>SUM(AS4:AS28)</f>
        <v>1</v>
      </c>
      <c r="AT29" s="306">
        <f>SUM(AT4:AT28)</f>
        <v>3</v>
      </c>
      <c r="AU29" s="306">
        <f>SUM(AU4:AU28)</f>
        <v>2</v>
      </c>
      <c r="AV29" s="306">
        <f>SUM(AV4:AV28)</f>
        <v>17</v>
      </c>
      <c r="AW29" s="306">
        <f>SUM(AR29:AV29)</f>
        <v>25</v>
      </c>
      <c r="AX29" s="391" t="s">
        <v>116</v>
      </c>
      <c r="AY29" s="392">
        <f>AVERAGE(AY4:AY28)</f>
        <v>0</v>
      </c>
      <c r="AZ29" s="392">
        <f t="shared" ref="AZ29" si="132">AVERAGE(AZ4:AZ28)</f>
        <v>0</v>
      </c>
      <c r="BA29" s="392">
        <f t="shared" ref="BA29" si="133">AVERAGE(BA4:BA28)</f>
        <v>0</v>
      </c>
      <c r="BB29" s="393">
        <f t="shared" ref="BB29" si="134">AVERAGE(BB4:BB28)</f>
        <v>0</v>
      </c>
      <c r="BC29" s="393">
        <f t="shared" ref="BC29" si="135">AVERAGE(BC4:BC28)</f>
        <v>0</v>
      </c>
      <c r="BD29" s="393">
        <f t="shared" ref="BD29" si="136">AVERAGE(BD4:BD28)</f>
        <v>0</v>
      </c>
      <c r="BE29" s="349"/>
      <c r="BF29" s="391" t="s">
        <v>116</v>
      </c>
      <c r="BG29" s="392">
        <f>AVERAGE(BG4:BG28)</f>
        <v>4.1568236883813829E-2</v>
      </c>
      <c r="BH29" s="392" t="e">
        <f>AVERAGE(BH4:BH28)</f>
        <v>#DIV/0!</v>
      </c>
      <c r="BI29" s="392">
        <f t="shared" ref="BI29" si="137">AVERAGE(BI4:BI28)</f>
        <v>2.8327585488375729E-3</v>
      </c>
      <c r="BJ29" s="393">
        <f t="shared" ref="BJ29" si="138">AVERAGE(BJ4:BJ28)</f>
        <v>2.5598883155414482E-3</v>
      </c>
      <c r="BK29" s="393" t="e">
        <f t="shared" ref="BK29" si="139">AVERAGE(BK4:BK28)</f>
        <v>#DIV/0!</v>
      </c>
      <c r="BL29" s="393">
        <f t="shared" ref="BL29" si="140">AVERAGE(BL4:BL28)</f>
        <v>1.6015593394740607E-5</v>
      </c>
      <c r="BM29" s="349"/>
      <c r="BN29" s="392">
        <f>AVERAGE(BN4:BN28)</f>
        <v>0.50181986444698934</v>
      </c>
      <c r="BO29" s="392">
        <f t="shared" ref="BO29" si="141">AVERAGE(BO4:BO28)</f>
        <v>0.72709541392839216</v>
      </c>
      <c r="BP29" s="392">
        <f t="shared" ref="BP29" si="142">AVERAGE(BP4:BP28)</f>
        <v>1.6883315629555664</v>
      </c>
      <c r="BQ29" s="393">
        <f t="shared" ref="BQ29" si="143">AVERAGE(BQ4:BQ28)</f>
        <v>5.772981222283681E-3</v>
      </c>
      <c r="BR29" s="393">
        <f t="shared" ref="BR29" si="144">AVERAGE(BR4:BR28)</f>
        <v>3.0971986398268532E-3</v>
      </c>
      <c r="BS29" s="393">
        <f t="shared" ref="BS29" si="145">AVERAGE(BS4:BS28)</f>
        <v>4.9435102540128437E-3</v>
      </c>
      <c r="BT29" s="349"/>
      <c r="BU29" s="392">
        <f>AVERAGE(BU4:BU28)</f>
        <v>1.0417325658945711</v>
      </c>
      <c r="BV29" s="392">
        <f t="shared" ref="BV29" si="146">AVERAGE(BV4:BV28)</f>
        <v>0.32051318322194533</v>
      </c>
      <c r="BW29" s="392">
        <f t="shared" ref="BW29" si="147">AVERAGE(BW4:BW28)</f>
        <v>1.4717631273865688</v>
      </c>
      <c r="BX29" s="393">
        <f t="shared" ref="BX29" si="148">AVERAGE(BX4:BX28)</f>
        <v>1.9987741335897733E-2</v>
      </c>
      <c r="BY29" s="393">
        <f t="shared" ref="BY29" si="149">AVERAGE(BY4:BY28)</f>
        <v>2.4422839676057457E-4</v>
      </c>
      <c r="BZ29" s="393">
        <f t="shared" ref="BZ29" si="150">AVERAGE(BZ4:BZ28)</f>
        <v>1.5987059108473762E-3</v>
      </c>
      <c r="CA29" s="349"/>
      <c r="CB29" s="392">
        <f>AVERAGE(CB4:CB28)</f>
        <v>4.732274448422856E-2</v>
      </c>
      <c r="CC29" s="392">
        <f t="shared" ref="CC29" si="151">AVERAGE(CC4:CC28)</f>
        <v>0.58013374367499027</v>
      </c>
      <c r="CD29" s="392">
        <f t="shared" ref="CD29" si="152">AVERAGE(CD4:CD28)</f>
        <v>0.82739130241484238</v>
      </c>
      <c r="CE29" s="393">
        <f t="shared" ref="CE29" si="153">AVERAGE(CE4:CE28)</f>
        <v>6.3635865084765621E-3</v>
      </c>
      <c r="CF29" s="393">
        <f>AVERAGE(CF4:CF28)</f>
        <v>-6.02655276302844E-4</v>
      </c>
      <c r="CG29" s="393">
        <f t="shared" ref="CG29" si="154">AVERAGE(CG4:CG28)</f>
        <v>3.3092994723546535E-4</v>
      </c>
      <c r="CH29" s="349"/>
      <c r="CI29" s="391" t="s">
        <v>116</v>
      </c>
      <c r="CJ29" s="392">
        <f>AVERAGE(CJ4:CJ28)</f>
        <v>0</v>
      </c>
      <c r="CK29" s="392">
        <f t="shared" ref="CK29:CO29" si="155">AVERAGE(CK4:CK28)</f>
        <v>0</v>
      </c>
      <c r="CL29" s="392">
        <f t="shared" si="155"/>
        <v>0</v>
      </c>
      <c r="CM29" s="393">
        <f t="shared" si="155"/>
        <v>0</v>
      </c>
      <c r="CN29" s="393">
        <f t="shared" si="155"/>
        <v>0</v>
      </c>
      <c r="CO29" s="393">
        <f t="shared" si="155"/>
        <v>0</v>
      </c>
      <c r="CP29" s="349"/>
      <c r="CQ29" s="391" t="s">
        <v>116</v>
      </c>
      <c r="CR29" s="392">
        <f>AVERAGE(CR4:CR28)</f>
        <v>2.0087289217440463E-2</v>
      </c>
      <c r="CS29" s="392">
        <f t="shared" ref="CS29:CW29" si="156">AVERAGE(CS4:CS28)</f>
        <v>4.0547940704268495E-2</v>
      </c>
      <c r="CT29" s="392">
        <f t="shared" si="156"/>
        <v>6.4994305846041781E-2</v>
      </c>
      <c r="CU29" s="393">
        <f t="shared" si="156"/>
        <v>1.4226125508102312E-3</v>
      </c>
      <c r="CV29" s="393">
        <f t="shared" si="156"/>
        <v>3.203064903778874E-4</v>
      </c>
      <c r="CW29" s="393">
        <f t="shared" si="156"/>
        <v>3.8227207140024419E-4</v>
      </c>
      <c r="CX29" s="349"/>
      <c r="CY29" s="392">
        <f>AVERAGE(CY4:CY28)</f>
        <v>0.44663282655360415</v>
      </c>
      <c r="CZ29" s="392">
        <f t="shared" ref="CZ29:DD29" si="157">AVERAGE(CZ4:CZ28)</f>
        <v>0.29254957259264219</v>
      </c>
      <c r="DA29" s="392">
        <f t="shared" si="157"/>
        <v>0.85914189722124057</v>
      </c>
      <c r="DB29" s="393">
        <f t="shared" si="157"/>
        <v>1.0954530138518678E-2</v>
      </c>
      <c r="DC29" s="393">
        <f t="shared" si="157"/>
        <v>2.1347415970074265E-3</v>
      </c>
      <c r="DD29" s="393">
        <f t="shared" si="157"/>
        <v>3.5869258320912474E-3</v>
      </c>
      <c r="DE29" s="349"/>
      <c r="DF29" s="392">
        <f>AVERAGE(DF4:DF28)</f>
        <v>1.2494878124035791</v>
      </c>
      <c r="DG29" s="392">
        <f t="shared" ref="DG29:DK29" si="158">AVERAGE(DG4:DG28)</f>
        <v>0.39326029126126388</v>
      </c>
      <c r="DH29" s="392">
        <f t="shared" si="158"/>
        <v>3.0342857142857156</v>
      </c>
      <c r="DI29" s="393">
        <f t="shared" si="158"/>
        <v>3.1139289397756786E-2</v>
      </c>
      <c r="DJ29" s="393">
        <f t="shared" si="158"/>
        <v>7.729456984877926E-4</v>
      </c>
      <c r="DK29" s="393">
        <f t="shared" si="158"/>
        <v>3.5814613846293945E-3</v>
      </c>
      <c r="DL29" s="349"/>
      <c r="DM29" s="392">
        <f>AVERAGE(DM4:DM28)</f>
        <v>0.60012454814668137</v>
      </c>
      <c r="DN29" s="392">
        <f t="shared" ref="DN29:DO29" si="159">AVERAGE(DN4:DN28)</f>
        <v>1.7987243562509909</v>
      </c>
      <c r="DO29" s="392">
        <f t="shared" si="159"/>
        <v>2.5145891134203668</v>
      </c>
      <c r="DP29" s="393">
        <f>AVERAGE(DP4:DP28)</f>
        <v>1.2489140010149223E-2</v>
      </c>
      <c r="DQ29" s="393">
        <f>AVERAGE(DQ4:DQ28)</f>
        <v>3.9022892472156887E-3</v>
      </c>
      <c r="DR29" s="393">
        <f>AVERAGE(DR4:DR28)</f>
        <v>4.7308091357155932E-3</v>
      </c>
      <c r="DS29" s="349"/>
      <c r="DU29" s="306">
        <f>SUM(DU4:DU28)</f>
        <v>3</v>
      </c>
      <c r="DV29" s="306">
        <f>SUM(DV4:DV28)</f>
        <v>3</v>
      </c>
      <c r="DW29" s="306">
        <f>SUM(DW4:DW28)</f>
        <v>11</v>
      </c>
      <c r="DX29" s="306">
        <f>SUM(DX4:DX28)</f>
        <v>8</v>
      </c>
      <c r="DY29" s="306">
        <f>SUM(DY4:DY28)</f>
        <v>66</v>
      </c>
      <c r="DZ29" s="249">
        <f>SUM(DU29:DY29)</f>
        <v>91</v>
      </c>
      <c r="EA29" s="306">
        <f t="shared" ref="EA29:EF29" si="160">SUM(EA4:EA28)</f>
        <v>1</v>
      </c>
      <c r="EB29" s="306">
        <f t="shared" si="160"/>
        <v>1</v>
      </c>
      <c r="EC29" s="306">
        <f t="shared" si="160"/>
        <v>0</v>
      </c>
      <c r="ED29" s="306">
        <f t="shared" si="160"/>
        <v>1</v>
      </c>
      <c r="EE29" s="306">
        <f t="shared" si="160"/>
        <v>1</v>
      </c>
      <c r="EF29" s="306">
        <f t="shared" si="160"/>
        <v>1</v>
      </c>
      <c r="EH29" s="306">
        <f t="shared" ref="EH29:EM29" si="161">SUM(EH4:EH28)</f>
        <v>1</v>
      </c>
      <c r="EI29" s="306">
        <f t="shared" si="161"/>
        <v>0</v>
      </c>
      <c r="EJ29" s="306">
        <f t="shared" si="161"/>
        <v>0</v>
      </c>
      <c r="EK29" s="306">
        <f t="shared" si="161"/>
        <v>2</v>
      </c>
      <c r="EL29" s="306">
        <f t="shared" si="161"/>
        <v>2</v>
      </c>
      <c r="EM29" s="306">
        <f t="shared" si="161"/>
        <v>0</v>
      </c>
      <c r="EO29" s="306">
        <f t="shared" ref="EO29:ET29" si="162">SUM(EO4:EO28)</f>
        <v>1</v>
      </c>
      <c r="EP29" s="306">
        <f t="shared" si="162"/>
        <v>3</v>
      </c>
      <c r="EQ29" s="306">
        <f>SUM(EQ4:EQ28)</f>
        <v>5</v>
      </c>
      <c r="ER29" s="306">
        <f t="shared" si="162"/>
        <v>4</v>
      </c>
      <c r="ES29" s="306">
        <f t="shared" si="162"/>
        <v>4</v>
      </c>
      <c r="ET29" s="306">
        <f t="shared" si="162"/>
        <v>2</v>
      </c>
      <c r="EV29" s="306">
        <f t="shared" ref="EV29:FA29" si="163">SUM(EV4:EV28)</f>
        <v>0</v>
      </c>
      <c r="EW29" s="306">
        <f t="shared" si="163"/>
        <v>2</v>
      </c>
      <c r="EX29" s="306">
        <f t="shared" si="163"/>
        <v>6</v>
      </c>
      <c r="EY29" s="306">
        <f t="shared" si="163"/>
        <v>2</v>
      </c>
      <c r="EZ29" s="306">
        <f t="shared" si="163"/>
        <v>1</v>
      </c>
      <c r="FA29" s="306">
        <f t="shared" si="163"/>
        <v>0</v>
      </c>
      <c r="FC29" s="306">
        <f>SUM(FC4:FC28)</f>
        <v>1</v>
      </c>
      <c r="FD29" s="306">
        <f t="shared" ref="FD29:FH29" si="164">SUM(FD4:FD28)</f>
        <v>21</v>
      </c>
      <c r="FE29" s="306">
        <f t="shared" si="164"/>
        <v>38</v>
      </c>
      <c r="FF29" s="306">
        <f t="shared" si="164"/>
        <v>27</v>
      </c>
      <c r="FG29" s="306">
        <f t="shared" si="164"/>
        <v>16</v>
      </c>
      <c r="FH29" s="306">
        <f t="shared" si="164"/>
        <v>5</v>
      </c>
      <c r="FJ29" s="306" t="s">
        <v>67</v>
      </c>
      <c r="FK29" s="235">
        <f>COUNTIF(FK4:FK28,"&lt;&gt;0")</f>
        <v>8</v>
      </c>
      <c r="FL29" s="235">
        <f>COUNTIF(FL4:FL28,"&lt;&gt;0")</f>
        <v>12</v>
      </c>
      <c r="FM29" s="235">
        <f>COUNTIF(FM4:FM28,"&lt;&gt;0")</f>
        <v>2</v>
      </c>
      <c r="FN29" s="235">
        <f>COUNTIF(FN4:FN28,"&lt;&gt;0")</f>
        <v>2</v>
      </c>
      <c r="FO29" s="243">
        <f>COUNTIF(FO4:FO28,"&lt;&gt;0")</f>
        <v>1</v>
      </c>
      <c r="FQ29" s="234">
        <f>COUNTIF(FQ4:FQ28,"&lt;&gt;0")</f>
        <v>11</v>
      </c>
      <c r="FR29" s="235">
        <f>COUNTIF(FR4:FR28,"&lt;&gt;0")</f>
        <v>9</v>
      </c>
      <c r="FS29" s="235">
        <f>COUNTIF(FS4:FS28,"&lt;&gt;0")</f>
        <v>3</v>
      </c>
      <c r="FT29" s="235">
        <f>COUNTIF(FT4:FT28,"&lt;&gt;0")</f>
        <v>2</v>
      </c>
      <c r="FU29" s="243">
        <f>COUNTIF(FU4:FU28,"&lt;&gt;0")</f>
        <v>0</v>
      </c>
      <c r="FW29" s="307">
        <f>COUNTIF(FW4:FW28,"&lt;&gt;0")</f>
        <v>9</v>
      </c>
      <c r="FX29" s="308">
        <f>COUNTIF(FX4:FX28,"&lt;&gt;0")</f>
        <v>7</v>
      </c>
      <c r="FY29" s="308">
        <f>COUNTIF(FY4:FY28,"&lt;&gt;0")</f>
        <v>5</v>
      </c>
      <c r="FZ29" s="308">
        <f>COUNTIF(FZ4:FZ28,"&lt;&gt;0")</f>
        <v>4</v>
      </c>
      <c r="GA29" s="309">
        <f>COUNTIF(GA4:GA28,"&lt;&gt;0")</f>
        <v>0</v>
      </c>
    </row>
    <row r="30" spans="1:183" s="610" customFormat="1" ht="55.5" x14ac:dyDescent="0.35">
      <c r="C30" s="611"/>
      <c r="G30" s="612">
        <f>SUM(G4:G28)</f>
        <v>4</v>
      </c>
      <c r="H30" s="612">
        <f>SUM(H4:H28)</f>
        <v>27</v>
      </c>
      <c r="I30" s="612">
        <f>SUM(I4:I28)</f>
        <v>49</v>
      </c>
      <c r="J30" s="612">
        <f>SUM(J4:J28)</f>
        <v>36</v>
      </c>
      <c r="K30" s="612">
        <f>SUM(K4:K28)</f>
        <v>24</v>
      </c>
      <c r="N30" s="612">
        <f>SUM(N4:N28)</f>
        <v>91</v>
      </c>
      <c r="O30" s="610">
        <f>SUM(O4:O28)</f>
        <v>9512</v>
      </c>
      <c r="P30" s="612">
        <f>SUM(P4:P28)</f>
        <v>45364.479999999996</v>
      </c>
      <c r="V30" s="610" t="s">
        <v>187</v>
      </c>
      <c r="W30" s="613">
        <f>MAX(W4:W28)</f>
        <v>0.73664017539051796</v>
      </c>
      <c r="X30" s="613">
        <f t="shared" ref="X30:Y30" si="165">MAX(X4:X28)</f>
        <v>0.1342355265014345</v>
      </c>
      <c r="Y30" s="613">
        <f t="shared" si="165"/>
        <v>0.13957768822737768</v>
      </c>
      <c r="AA30" s="614">
        <f>MAX(AA4:AA28)</f>
        <v>2.1014285714285714</v>
      </c>
      <c r="AB30" s="614">
        <f t="shared" ref="AB30" si="166">MAX(AB4:AB28)</f>
        <v>6.3427777777777816</v>
      </c>
      <c r="AC30" s="614">
        <f>MAX(AC4:AC28)</f>
        <v>10.743888888888895</v>
      </c>
      <c r="AD30" s="615">
        <f>MAX(AD4:AD28)</f>
        <v>5.2697095435684654E-2</v>
      </c>
      <c r="AE30" s="615">
        <f>MAX(AE4:AE28)</f>
        <v>8.209375370392331E-3</v>
      </c>
      <c r="AF30" s="615">
        <f>MAX(AF4:AF28)</f>
        <v>1.0390751826023423E-2</v>
      </c>
      <c r="AQ30" s="616"/>
      <c r="FJ30" s="617" t="s">
        <v>114</v>
      </c>
      <c r="FK30" s="618">
        <f>SUMIF(FK4:FK28,"&lt;&gt;0",$O$4:$O$28)</f>
        <v>1306</v>
      </c>
      <c r="FL30" s="619">
        <f>SUMIF(FL4:FL28,"&lt;&gt;0",$O$4:$O$28)</f>
        <v>4546</v>
      </c>
      <c r="FM30" s="619">
        <f>SUMIF(FM4:FM28,"&lt;&gt;0",$O$4:$O$28)</f>
        <v>1410</v>
      </c>
      <c r="FN30" s="619">
        <f>SUMIF(FN4:FN28,"&lt;&gt;0",$O$4:$O$28)</f>
        <v>1250</v>
      </c>
      <c r="FO30" s="619">
        <f>SUMIF(FO4:FO28,"&lt;&gt;0",$O$4:$O$28)</f>
        <v>1000</v>
      </c>
      <c r="FQ30" s="618">
        <f>SUMIF(FQ4:FQ28,"&lt;&gt;0",$O$4:$O$28)</f>
        <v>3583</v>
      </c>
      <c r="FR30" s="619">
        <f>SUMIF(FR4:FR28,"&lt;&gt;0",$O$4:$O$28)</f>
        <v>4044</v>
      </c>
      <c r="FS30" s="619">
        <f>SUMIF(FS4:FS28,"&lt;&gt;0",$O$4:$O$28)</f>
        <v>1005</v>
      </c>
      <c r="FT30" s="619">
        <f>SUMIF(FT4:FT28,"&lt;&gt;0",$O$4:$O$28)</f>
        <v>880</v>
      </c>
      <c r="FU30" s="619">
        <f>SUMIF(FU4:FU28,"&lt;&gt;0",$O$4:$O$28)</f>
        <v>0</v>
      </c>
      <c r="FW30" s="620">
        <f>SUMIF(FW4:FW28,"&lt;&gt;0",$O$4:$O$28)</f>
        <v>1524</v>
      </c>
      <c r="FX30" s="621">
        <f>SUMIF(FX4:FX28,"&lt;&gt;0",$O$4:$O$28)</f>
        <v>2481</v>
      </c>
      <c r="FY30" s="621">
        <f>SUMIF(FY4:FY28,"&lt;&gt;0",$O$4:$O$28)</f>
        <v>3622</v>
      </c>
      <c r="FZ30" s="621">
        <f>SUMIF(FZ4:FZ28,"&lt;&gt;0",$O$4:$O$28)</f>
        <v>1885</v>
      </c>
      <c r="GA30" s="621">
        <f>SUMIF(GA4:GA28,"&lt;&gt;0",$O$4:$O$28)</f>
        <v>0</v>
      </c>
    </row>
    <row r="31" spans="1:183" ht="29" x14ac:dyDescent="0.35">
      <c r="M31" s="306"/>
      <c r="N31" s="312"/>
      <c r="V31" s="249" t="s">
        <v>188</v>
      </c>
      <c r="W31" s="447">
        <f>MIN(W4:W28)</f>
        <v>-0.36386303700709333</v>
      </c>
      <c r="X31" s="447">
        <f t="shared" ref="X31:Y31" si="167">MIN(X4:X28)</f>
        <v>-0.35191489361702127</v>
      </c>
      <c r="Y31" s="447">
        <f t="shared" si="167"/>
        <v>-0.268421052631579</v>
      </c>
      <c r="AA31" s="448">
        <f>MIN(AA4:AA28)</f>
        <v>-2.1857142857142855</v>
      </c>
      <c r="AB31" s="448">
        <f t="shared" ref="AB31:AC31" si="168">MIN(AB4:AB28)</f>
        <v>-3.1318162052715608</v>
      </c>
      <c r="AC31" s="448">
        <f t="shared" si="168"/>
        <v>-3.7460055535143728</v>
      </c>
      <c r="AD31" s="349">
        <f>MIN(AD4:AD28)</f>
        <v>-2.4217725840187648E-2</v>
      </c>
      <c r="AE31" s="349">
        <f t="shared" ref="AE31:AF31" si="169">MIN(AE4:AE28)</f>
        <v>-2.7070376432078557E-2</v>
      </c>
      <c r="AF31" s="349">
        <f t="shared" si="169"/>
        <v>-2.0647773279352234E-2</v>
      </c>
      <c r="FJ31" s="310" t="s">
        <v>115</v>
      </c>
      <c r="FK31" s="244">
        <f>SUMIF(FK4:FK28,"&lt;&gt;0",$P$4:$P$28)</f>
        <v>6284.42</v>
      </c>
      <c r="FL31" s="344">
        <f>SUMIF(FL4:FL28,"&lt;&gt;0",$P$4:$P$28)</f>
        <v>22202.11</v>
      </c>
      <c r="FM31" s="344">
        <f>SUMIF(FM4:FM28,"&lt;&gt;0",$P$4:$P$28)</f>
        <v>7305.9500000000007</v>
      </c>
      <c r="FN31" s="344">
        <f>SUMIF(FN4:FN28,"&lt;&gt;0",$P$4:$P$28)</f>
        <v>5508</v>
      </c>
      <c r="FO31" s="344">
        <f>SUMIF(FO4:FO28,"&lt;&gt;0",$P$4:$P$28)</f>
        <v>4064</v>
      </c>
      <c r="FQ31" s="244">
        <f>SUMIF(FQ4:FQ28,"&lt;&gt;0",$P$4:$P$28)</f>
        <v>18006.14</v>
      </c>
      <c r="FR31" s="344">
        <f>SUMIF(FR4:FR28,"&lt;&gt;0",$P$4:$P$28)</f>
        <v>18329.38</v>
      </c>
      <c r="FS31" s="344">
        <f>SUMIF(FS4:FS28,"&lt;&gt;0",$P$4:$P$28)</f>
        <v>5591.96</v>
      </c>
      <c r="FT31" s="344">
        <f>SUMIF(FT4:FT28,"&lt;&gt;0",$P$4:$P$28)</f>
        <v>3437</v>
      </c>
      <c r="FU31" s="344">
        <f>SUMIF(FU4:FU28,"&lt;&gt;0",$P$4:$P$28)</f>
        <v>0</v>
      </c>
      <c r="FW31" s="311">
        <f>SUMIF(FW4:FW28,"&lt;&gt;0",$P$4:$P$28)</f>
        <v>8373.619999999999</v>
      </c>
      <c r="FX31" s="345">
        <f>SUMIF(FX4:FX28,"&lt;&gt;0",$P$4:$P$28)</f>
        <v>11720.14</v>
      </c>
      <c r="FY31" s="345">
        <f>SUMIF(FY4:FY28,"&lt;&gt;0",$P$4:$P$28)</f>
        <v>16241.76</v>
      </c>
      <c r="FZ31" s="345">
        <f>SUMIF(FZ4:FZ28,"&lt;&gt;0",$P$4:$P$28)</f>
        <v>9028.9599999999991</v>
      </c>
      <c r="GA31" s="345">
        <f>SUMIF(GA4:GA28,"&lt;&gt;0",$P$4:$P$28)</f>
        <v>0</v>
      </c>
    </row>
    <row r="33" spans="3:183" ht="43.5" x14ac:dyDescent="0.35">
      <c r="C33" s="440"/>
      <c r="D33" s="441"/>
      <c r="E33" s="441"/>
      <c r="F33" s="441"/>
      <c r="FJ33" s="310" t="s">
        <v>153</v>
      </c>
      <c r="FK33" s="245">
        <f>+FK30/$O$30</f>
        <v>0.13730025231286797</v>
      </c>
      <c r="FL33" s="245">
        <f>+FL30/$O$30</f>
        <v>0.47792262405382674</v>
      </c>
      <c r="FM33" s="245">
        <f t="shared" ref="FM33:FO33" si="170">+FM30/$O$30</f>
        <v>0.14823380992430613</v>
      </c>
      <c r="FN33" s="245">
        <f t="shared" si="170"/>
        <v>0.13141295206055509</v>
      </c>
      <c r="FO33" s="245">
        <f t="shared" si="170"/>
        <v>0.10513036164844407</v>
      </c>
      <c r="FQ33" s="245">
        <f>+FQ30/$O$30</f>
        <v>0.37668208578637513</v>
      </c>
      <c r="FR33" s="245">
        <f>+FR30/$O$30</f>
        <v>0.42514718250630784</v>
      </c>
      <c r="FS33" s="245">
        <f t="shared" ref="FS33:FU33" si="171">+FS30/$O$30</f>
        <v>0.10565601345668629</v>
      </c>
      <c r="FT33" s="245">
        <f t="shared" si="171"/>
        <v>9.2514718250630776E-2</v>
      </c>
      <c r="FU33" s="245">
        <f t="shared" si="171"/>
        <v>0</v>
      </c>
      <c r="FW33" s="245">
        <f>+FW30/$O$30</f>
        <v>0.16021867115222876</v>
      </c>
      <c r="FX33" s="245">
        <f>+FX30/$O$30</f>
        <v>0.26082842724978972</v>
      </c>
      <c r="FY33" s="245">
        <f t="shared" ref="FY33:GA33" si="172">+FY30/$O$30</f>
        <v>0.38078216989066443</v>
      </c>
      <c r="FZ33" s="245">
        <f t="shared" si="172"/>
        <v>0.19817073170731708</v>
      </c>
      <c r="GA33" s="245">
        <f t="shared" si="172"/>
        <v>0</v>
      </c>
    </row>
    <row r="34" spans="3:183" ht="43.5" x14ac:dyDescent="0.35">
      <c r="C34" s="561"/>
      <c r="E34" s="479"/>
      <c r="F34" s="668"/>
      <c r="G34" s="439">
        <f>COUNT('[1]Riogrande I'!D24:D36)</f>
        <v>1</v>
      </c>
      <c r="H34" s="292">
        <f>COUNT('[1]Riogrande I'!E24:E36)</f>
        <v>2</v>
      </c>
      <c r="I34" s="292">
        <f>COUNT('[1]Riogrande I'!F24:F36)</f>
        <v>4</v>
      </c>
      <c r="J34" s="292">
        <f>COUNT('[1]Riogrande I'!G24:G36)</f>
        <v>0</v>
      </c>
      <c r="K34" s="292">
        <f>COUNT('[1]Riogrande I'!H24:H36)</f>
        <v>0</v>
      </c>
      <c r="L34" s="292"/>
      <c r="M34" s="292"/>
      <c r="N34" s="293">
        <f>COUNT('[1]Riogrande I'!C24:C36)</f>
        <v>7</v>
      </c>
      <c r="O34" s="280">
        <v>19</v>
      </c>
      <c r="P34" s="283">
        <v>38.159999999999997</v>
      </c>
      <c r="Q34" s="284">
        <v>0.04</v>
      </c>
      <c r="R34" s="285">
        <v>0.04</v>
      </c>
      <c r="S34" s="284">
        <v>2.4300000000000002</v>
      </c>
      <c r="T34" s="286">
        <v>0.53</v>
      </c>
      <c r="U34" s="287">
        <v>3.14</v>
      </c>
      <c r="V34" s="286">
        <v>1.85</v>
      </c>
      <c r="W34" s="288">
        <f>(Q34-R34)/Q34</f>
        <v>0</v>
      </c>
      <c r="X34" s="289">
        <f>(S34-T34)/S34</f>
        <v>0.78189300411522633</v>
      </c>
      <c r="Y34" s="290">
        <f>(U34-V34)/U34</f>
        <v>0.41082802547770703</v>
      </c>
      <c r="Z34" s="669"/>
      <c r="AA34" s="669"/>
      <c r="AB34" s="669"/>
      <c r="AC34" s="669"/>
      <c r="AD34" s="669"/>
      <c r="AE34" s="669"/>
      <c r="AF34" s="669"/>
      <c r="AG34" s="669"/>
      <c r="AH34" s="669"/>
      <c r="AI34" s="669"/>
      <c r="AJ34" s="669"/>
      <c r="AK34" s="669"/>
      <c r="AL34" s="669"/>
      <c r="AM34" s="669"/>
      <c r="AN34" s="669"/>
      <c r="AO34" s="669"/>
      <c r="AP34" s="276"/>
      <c r="AQ34" s="276"/>
      <c r="AR34" s="277">
        <f>IF(F34&lt;=5,1,0)</f>
        <v>1</v>
      </c>
      <c r="AS34" s="249">
        <f>IF(F34&gt;5,(IF(F34&lt;=10,1,0)),0)</f>
        <v>0</v>
      </c>
      <c r="AT34" s="249">
        <f>IF(F34&gt;10,(IF(F34&lt;=20,1,0)),0)</f>
        <v>0</v>
      </c>
      <c r="AU34" s="249">
        <f>IF(F34&gt;20,(IF(F34&lt;=30,1,0)),0)</f>
        <v>0</v>
      </c>
      <c r="AV34" s="279">
        <f>IF(F34&gt;30,1,0)</f>
        <v>0</v>
      </c>
      <c r="AX34" s="669"/>
      <c r="AY34" s="669"/>
      <c r="AZ34" s="669"/>
      <c r="BA34" s="669"/>
      <c r="BB34" s="669"/>
      <c r="BC34" s="669"/>
      <c r="BD34" s="669"/>
      <c r="BE34" s="669"/>
      <c r="BF34" s="669"/>
      <c r="BG34" s="669"/>
      <c r="BH34" s="669"/>
      <c r="BI34" s="669"/>
      <c r="BJ34" s="669"/>
      <c r="BK34" s="669"/>
      <c r="BL34" s="669"/>
      <c r="BM34" s="669"/>
      <c r="BN34" s="669"/>
      <c r="BO34" s="669"/>
      <c r="BP34" s="669"/>
      <c r="BQ34" s="669"/>
      <c r="BR34" s="669"/>
      <c r="BS34" s="669"/>
      <c r="BT34" s="669"/>
      <c r="BU34" s="669"/>
      <c r="BV34" s="669"/>
      <c r="BW34" s="669"/>
      <c r="BX34" s="669"/>
      <c r="BY34" s="669"/>
      <c r="BZ34" s="669"/>
      <c r="CA34" s="669"/>
      <c r="CB34" s="669"/>
      <c r="CC34" s="669"/>
      <c r="CD34" s="669"/>
      <c r="CE34" s="669"/>
      <c r="CF34" s="669"/>
      <c r="CG34" s="669"/>
      <c r="CH34" s="669"/>
      <c r="CI34" s="669"/>
      <c r="CJ34" s="669"/>
      <c r="CK34" s="669"/>
      <c r="CL34" s="669"/>
      <c r="CM34" s="669"/>
      <c r="CN34" s="669"/>
      <c r="CO34" s="669"/>
      <c r="CP34" s="669"/>
      <c r="CQ34" s="669"/>
      <c r="CR34" s="669"/>
      <c r="CS34" s="669"/>
      <c r="CT34" s="669"/>
      <c r="CU34" s="669"/>
      <c r="CV34" s="669"/>
      <c r="CW34" s="669"/>
      <c r="CX34" s="669"/>
      <c r="CY34" s="669"/>
      <c r="CZ34" s="669"/>
      <c r="DA34" s="669"/>
      <c r="DB34" s="669"/>
      <c r="DC34" s="669"/>
      <c r="DD34" s="669"/>
      <c r="DE34" s="669"/>
      <c r="DF34" s="669"/>
      <c r="DG34" s="669"/>
      <c r="DH34" s="669"/>
      <c r="DI34" s="669"/>
      <c r="DJ34" s="669"/>
      <c r="DK34" s="669"/>
      <c r="DL34" s="669"/>
      <c r="DM34" s="669"/>
      <c r="DN34" s="669"/>
      <c r="DO34" s="669"/>
      <c r="DP34" s="669"/>
      <c r="DQ34" s="669"/>
      <c r="DR34" s="669"/>
      <c r="DS34" s="669"/>
      <c r="DU34" s="249">
        <f>IF(AR34=1,$N34,0)</f>
        <v>7</v>
      </c>
      <c r="DV34" s="249">
        <f>IF(AS34=1,$N34,0)</f>
        <v>0</v>
      </c>
      <c r="DW34" s="249">
        <f>IF(AT34=1,$N34,0)</f>
        <v>0</v>
      </c>
      <c r="DX34" s="249">
        <f>IF(AU34=1,$N34,0)</f>
        <v>0</v>
      </c>
      <c r="DY34" s="249">
        <f>IF(AV34=1,$N34,0)</f>
        <v>0</v>
      </c>
      <c r="EA34" s="249">
        <f t="shared" ref="EA34:EF34" si="173">IF($AR34=1,G34,0)</f>
        <v>1</v>
      </c>
      <c r="EB34" s="249">
        <f t="shared" si="173"/>
        <v>2</v>
      </c>
      <c r="EC34" s="249">
        <f t="shared" si="173"/>
        <v>4</v>
      </c>
      <c r="ED34" s="249">
        <f t="shared" si="173"/>
        <v>0</v>
      </c>
      <c r="EE34" s="249">
        <f t="shared" si="173"/>
        <v>0</v>
      </c>
      <c r="EF34" s="249">
        <f t="shared" si="173"/>
        <v>0</v>
      </c>
      <c r="EH34" s="249">
        <f t="shared" ref="EH34:EM34" si="174">IF($AS34=1,G34,0)</f>
        <v>0</v>
      </c>
      <c r="EI34" s="249">
        <f t="shared" si="174"/>
        <v>0</v>
      </c>
      <c r="EJ34" s="249">
        <f t="shared" si="174"/>
        <v>0</v>
      </c>
      <c r="EK34" s="249">
        <f t="shared" si="174"/>
        <v>0</v>
      </c>
      <c r="EL34" s="249">
        <f t="shared" si="174"/>
        <v>0</v>
      </c>
      <c r="EM34" s="249">
        <f t="shared" si="174"/>
        <v>0</v>
      </c>
      <c r="EO34" s="249">
        <f t="shared" ref="EO34:ET34" si="175">IF($AT34=1,G34,0)</f>
        <v>0</v>
      </c>
      <c r="EP34" s="249">
        <f t="shared" si="175"/>
        <v>0</v>
      </c>
      <c r="EQ34" s="249">
        <f t="shared" si="175"/>
        <v>0</v>
      </c>
      <c r="ER34" s="249">
        <f t="shared" si="175"/>
        <v>0</v>
      </c>
      <c r="ES34" s="249">
        <f t="shared" si="175"/>
        <v>0</v>
      </c>
      <c r="ET34" s="249">
        <f t="shared" si="175"/>
        <v>0</v>
      </c>
      <c r="EV34" s="249">
        <f t="shared" ref="EV34:FA34" si="176">IF($AU34=1,G34,0)</f>
        <v>0</v>
      </c>
      <c r="EW34" s="249">
        <f t="shared" si="176"/>
        <v>0</v>
      </c>
      <c r="EX34" s="249">
        <f t="shared" si="176"/>
        <v>0</v>
      </c>
      <c r="EY34" s="249">
        <f t="shared" si="176"/>
        <v>0</v>
      </c>
      <c r="EZ34" s="249">
        <f t="shared" si="176"/>
        <v>0</v>
      </c>
      <c r="FA34" s="249">
        <f t="shared" si="176"/>
        <v>0</v>
      </c>
      <c r="FC34" s="249">
        <f t="shared" ref="FC34:FH34" si="177">IF($AV34=1,G34,0)</f>
        <v>0</v>
      </c>
      <c r="FD34" s="249">
        <f t="shared" si="177"/>
        <v>0</v>
      </c>
      <c r="FE34" s="249">
        <f t="shared" si="177"/>
        <v>0</v>
      </c>
      <c r="FF34" s="249">
        <f t="shared" si="177"/>
        <v>0</v>
      </c>
      <c r="FG34" s="249">
        <f t="shared" si="177"/>
        <v>0</v>
      </c>
      <c r="FH34" s="249">
        <f t="shared" si="177"/>
        <v>0</v>
      </c>
      <c r="FJ34" s="310" t="s">
        <v>154</v>
      </c>
      <c r="FK34" s="245">
        <f>+FK31/$P$30</f>
        <v>0.13853173231567958</v>
      </c>
      <c r="FL34" s="245">
        <f t="shared" ref="FL34:FO34" si="178">+FL31/$P$30</f>
        <v>0.48941616877345451</v>
      </c>
      <c r="FM34" s="245">
        <f t="shared" si="178"/>
        <v>0.16105001093366442</v>
      </c>
      <c r="FN34" s="245">
        <f t="shared" si="178"/>
        <v>0.12141657966761661</v>
      </c>
      <c r="FO34" s="245">
        <f t="shared" si="178"/>
        <v>8.9585508309584949E-2</v>
      </c>
      <c r="FQ34" s="245">
        <f>+FQ31/$P$30</f>
        <v>0.39692155624841285</v>
      </c>
      <c r="FR34" s="245">
        <f t="shared" ref="FR34:FU34" si="179">+FR31/$P$30</f>
        <v>0.40404695479811525</v>
      </c>
      <c r="FS34" s="245">
        <f t="shared" si="179"/>
        <v>0.12326736689145341</v>
      </c>
      <c r="FT34" s="245">
        <f t="shared" si="179"/>
        <v>7.5764122062018574E-2</v>
      </c>
      <c r="FU34" s="245">
        <f t="shared" si="179"/>
        <v>0</v>
      </c>
      <c r="FW34" s="245">
        <f>+FW31/$P$30</f>
        <v>0.18458538486498688</v>
      </c>
      <c r="FX34" s="245">
        <f t="shared" ref="FX34:GA34" si="180">+FX31/$P$30</f>
        <v>0.25835499492113656</v>
      </c>
      <c r="FY34" s="245">
        <f t="shared" si="180"/>
        <v>0.35802813126040467</v>
      </c>
      <c r="FZ34" s="245">
        <f t="shared" si="180"/>
        <v>0.19903148895347197</v>
      </c>
      <c r="GA34" s="245">
        <f t="shared" si="180"/>
        <v>0</v>
      </c>
    </row>
    <row r="35" spans="3:183" x14ac:dyDescent="0.35">
      <c r="C35" s="440"/>
      <c r="D35" s="441"/>
      <c r="E35" s="441"/>
      <c r="F35" s="441"/>
    </row>
    <row r="36" spans="3:183" x14ac:dyDescent="0.35">
      <c r="C36" s="440"/>
      <c r="D36" s="441"/>
      <c r="E36" s="706"/>
      <c r="F36" s="706"/>
      <c r="FK36" s="245"/>
      <c r="FL36" s="245"/>
      <c r="FM36" s="245"/>
      <c r="FN36" s="245"/>
      <c r="FO36" s="245"/>
      <c r="FQ36" s="245"/>
      <c r="FR36" s="245"/>
      <c r="FS36" s="245"/>
      <c r="FT36" s="245"/>
      <c r="FU36" s="246"/>
      <c r="FW36" s="245"/>
      <c r="FX36" s="245"/>
      <c r="FY36" s="245"/>
      <c r="FZ36" s="245"/>
      <c r="GA36" s="245"/>
    </row>
    <row r="37" spans="3:183" x14ac:dyDescent="0.35">
      <c r="C37" s="440"/>
      <c r="D37" s="441"/>
      <c r="E37" s="706"/>
      <c r="F37" s="706"/>
      <c r="FK37" s="245"/>
      <c r="FL37" s="245"/>
      <c r="FM37" s="245"/>
      <c r="FN37" s="245"/>
      <c r="FO37" s="245"/>
      <c r="FQ37" s="245"/>
      <c r="FR37" s="245"/>
      <c r="FS37" s="245"/>
      <c r="FT37" s="245"/>
      <c r="FU37" s="246"/>
      <c r="FW37" s="245"/>
      <c r="FX37" s="245"/>
      <c r="FY37" s="245"/>
      <c r="FZ37" s="245"/>
      <c r="GA37" s="245"/>
    </row>
    <row r="38" spans="3:183" x14ac:dyDescent="0.35">
      <c r="C38" s="440"/>
      <c r="D38" s="441"/>
      <c r="E38" s="441"/>
      <c r="F38" s="443"/>
      <c r="G38" s="336"/>
    </row>
    <row r="39" spans="3:183" x14ac:dyDescent="0.35">
      <c r="C39" s="440"/>
      <c r="D39" s="441"/>
      <c r="E39" s="441"/>
      <c r="F39" s="443"/>
      <c r="G39" s="336"/>
      <c r="FK39" s="247"/>
      <c r="FL39" s="247"/>
      <c r="FM39" s="247"/>
      <c r="FN39" s="247"/>
      <c r="FO39" s="247"/>
    </row>
    <row r="40" spans="3:183" x14ac:dyDescent="0.35">
      <c r="C40" s="440"/>
      <c r="D40" s="441"/>
      <c r="E40" s="441"/>
      <c r="F40" s="443"/>
      <c r="G40" s="336"/>
      <c r="FK40" s="247"/>
      <c r="FL40" s="247"/>
      <c r="FM40" s="247"/>
      <c r="FN40" s="247"/>
      <c r="FO40" s="247"/>
    </row>
    <row r="41" spans="3:183" x14ac:dyDescent="0.35">
      <c r="C41" s="440"/>
      <c r="D41" s="441"/>
      <c r="E41" s="441"/>
      <c r="F41" s="443"/>
      <c r="G41" s="336"/>
      <c r="FK41" s="247"/>
      <c r="FL41" s="247"/>
      <c r="FM41" s="247"/>
      <c r="FN41" s="247"/>
      <c r="FO41" s="247"/>
    </row>
    <row r="42" spans="3:183" x14ac:dyDescent="0.35">
      <c r="C42" s="440"/>
      <c r="D42" s="441"/>
      <c r="E42" s="441"/>
      <c r="F42" s="444"/>
      <c r="G42" s="336"/>
      <c r="FK42" s="247"/>
      <c r="FL42" s="247"/>
      <c r="FM42" s="247"/>
      <c r="FN42" s="247"/>
      <c r="FO42" s="247"/>
    </row>
    <row r="43" spans="3:183" x14ac:dyDescent="0.35">
      <c r="C43" s="440"/>
      <c r="D43" s="441"/>
      <c r="E43" s="441"/>
      <c r="F43" s="444"/>
      <c r="G43" s="336"/>
      <c r="FK43" s="247"/>
      <c r="FL43" s="247"/>
      <c r="FM43" s="247"/>
      <c r="FN43" s="247"/>
      <c r="FO43" s="247"/>
    </row>
    <row r="44" spans="3:183" x14ac:dyDescent="0.35">
      <c r="C44" s="440"/>
      <c r="D44" s="441"/>
      <c r="E44" s="441"/>
      <c r="F44" s="444"/>
      <c r="G44" s="336"/>
      <c r="FK44" s="247"/>
      <c r="FL44" s="247"/>
      <c r="FM44" s="247"/>
      <c r="FN44" s="247"/>
      <c r="FO44" s="247"/>
    </row>
    <row r="45" spans="3:183" x14ac:dyDescent="0.35">
      <c r="C45" s="440"/>
      <c r="D45" s="441"/>
      <c r="E45" s="441"/>
      <c r="F45" s="444"/>
      <c r="FK45" s="247"/>
      <c r="FL45" s="247"/>
      <c r="FM45" s="247"/>
      <c r="FN45" s="247"/>
      <c r="FO45" s="247"/>
    </row>
    <row r="46" spans="3:183" x14ac:dyDescent="0.35">
      <c r="C46" s="440"/>
      <c r="D46" s="441"/>
      <c r="E46" s="441"/>
      <c r="F46" s="444"/>
      <c r="FK46" s="247"/>
      <c r="FL46" s="247"/>
      <c r="FM46" s="247"/>
      <c r="FN46" s="247"/>
      <c r="FO46" s="247"/>
    </row>
    <row r="47" spans="3:183" x14ac:dyDescent="0.35">
      <c r="C47" s="440"/>
      <c r="D47" s="441"/>
      <c r="E47" s="441"/>
      <c r="F47" s="443"/>
      <c r="FK47" s="247"/>
      <c r="FL47" s="247"/>
      <c r="FM47" s="247"/>
      <c r="FN47" s="247"/>
      <c r="FO47" s="247"/>
    </row>
    <row r="48" spans="3:183" x14ac:dyDescent="0.35">
      <c r="C48" s="440"/>
      <c r="D48" s="441"/>
      <c r="E48" s="441"/>
      <c r="F48" s="444"/>
      <c r="FK48" s="247"/>
      <c r="FL48" s="247"/>
      <c r="FM48" s="247"/>
      <c r="FN48" s="247"/>
      <c r="FO48" s="247"/>
    </row>
    <row r="49" spans="3:171" x14ac:dyDescent="0.35">
      <c r="C49" s="440"/>
      <c r="D49" s="441"/>
      <c r="E49" s="441"/>
      <c r="F49" s="444"/>
      <c r="FK49" s="247"/>
      <c r="FL49" s="247"/>
      <c r="FM49" s="247"/>
      <c r="FN49" s="247"/>
      <c r="FO49" s="247"/>
    </row>
    <row r="50" spans="3:171" x14ac:dyDescent="0.35">
      <c r="C50" s="440"/>
      <c r="D50" s="441"/>
      <c r="E50" s="441"/>
      <c r="F50" s="444"/>
      <c r="G50" s="336"/>
      <c r="FK50" s="247"/>
      <c r="FL50" s="247"/>
      <c r="FM50" s="247"/>
      <c r="FN50" s="247"/>
      <c r="FO50" s="247"/>
    </row>
    <row r="51" spans="3:171" x14ac:dyDescent="0.35">
      <c r="C51" s="440"/>
      <c r="D51" s="441"/>
      <c r="E51" s="441"/>
      <c r="F51" s="444"/>
      <c r="G51" s="336"/>
      <c r="FK51" s="247"/>
      <c r="FL51" s="247"/>
      <c r="FM51" s="247"/>
      <c r="FN51" s="247"/>
      <c r="FO51" s="247"/>
    </row>
    <row r="52" spans="3:171" x14ac:dyDescent="0.35">
      <c r="C52" s="440"/>
      <c r="D52" s="441"/>
      <c r="E52" s="441"/>
      <c r="F52" s="444"/>
      <c r="G52" s="336"/>
      <c r="FK52" s="247"/>
      <c r="FL52" s="247"/>
      <c r="FM52" s="247"/>
      <c r="FN52" s="247"/>
      <c r="FO52" s="247"/>
    </row>
    <row r="53" spans="3:171" x14ac:dyDescent="0.35">
      <c r="C53" s="440"/>
      <c r="D53" s="441"/>
      <c r="E53" s="441"/>
      <c r="F53" s="444"/>
      <c r="G53" s="336"/>
      <c r="FK53" s="247"/>
      <c r="FL53" s="247"/>
      <c r="FM53" s="247"/>
      <c r="FN53" s="247"/>
      <c r="FO53" s="247"/>
    </row>
    <row r="54" spans="3:171" x14ac:dyDescent="0.35">
      <c r="C54" s="440"/>
      <c r="D54" s="441"/>
      <c r="E54" s="441"/>
      <c r="F54" s="444"/>
      <c r="G54" s="336"/>
      <c r="FK54" s="247"/>
      <c r="FL54" s="247"/>
      <c r="FM54" s="247"/>
      <c r="FN54" s="247"/>
      <c r="FO54" s="247"/>
    </row>
    <row r="55" spans="3:171" x14ac:dyDescent="0.35">
      <c r="C55" s="440"/>
      <c r="D55" s="441"/>
      <c r="E55" s="441"/>
      <c r="F55" s="444"/>
      <c r="FK55" s="247"/>
      <c r="FL55" s="247"/>
      <c r="FM55" s="247"/>
      <c r="FN55" s="247"/>
      <c r="FO55" s="247"/>
    </row>
    <row r="56" spans="3:171" x14ac:dyDescent="0.35">
      <c r="C56" s="440"/>
      <c r="D56" s="441"/>
      <c r="E56" s="441"/>
      <c r="F56" s="444"/>
      <c r="FK56" s="247"/>
      <c r="FL56" s="247"/>
      <c r="FM56" s="247"/>
      <c r="FN56" s="247"/>
      <c r="FO56" s="247"/>
    </row>
    <row r="57" spans="3:171" x14ac:dyDescent="0.35">
      <c r="C57" s="440"/>
      <c r="D57" s="441"/>
      <c r="E57" s="441"/>
      <c r="F57" s="444"/>
      <c r="G57" s="336"/>
      <c r="FK57" s="247"/>
      <c r="FL57" s="247"/>
      <c r="FM57" s="247"/>
      <c r="FN57" s="247"/>
      <c r="FO57" s="247"/>
    </row>
    <row r="58" spans="3:171" x14ac:dyDescent="0.35">
      <c r="C58" s="440"/>
      <c r="D58" s="441"/>
      <c r="E58" s="441"/>
      <c r="F58" s="444"/>
      <c r="G58" s="336"/>
      <c r="FK58" s="247"/>
      <c r="FL58" s="247"/>
      <c r="FM58" s="247"/>
      <c r="FN58" s="247"/>
      <c r="FO58" s="247"/>
    </row>
    <row r="59" spans="3:171" x14ac:dyDescent="0.35">
      <c r="C59" s="440"/>
      <c r="D59" s="441"/>
      <c r="E59" s="441"/>
      <c r="F59" s="444"/>
      <c r="G59" s="336"/>
      <c r="FK59" s="247"/>
      <c r="FL59" s="247"/>
      <c r="FM59" s="247"/>
      <c r="FN59" s="247"/>
      <c r="FO59" s="247"/>
    </row>
    <row r="60" spans="3:171" x14ac:dyDescent="0.35">
      <c r="C60" s="440"/>
      <c r="D60" s="441"/>
      <c r="E60" s="441"/>
      <c r="F60" s="444"/>
      <c r="FK60" s="247"/>
      <c r="FL60" s="247"/>
      <c r="FM60" s="247"/>
      <c r="FN60" s="247"/>
      <c r="FO60" s="247"/>
    </row>
    <row r="61" spans="3:171" x14ac:dyDescent="0.35">
      <c r="C61" s="440"/>
      <c r="D61" s="441"/>
      <c r="E61" s="441"/>
      <c r="F61" s="444"/>
      <c r="FK61" s="247"/>
      <c r="FL61" s="247"/>
      <c r="FM61" s="247"/>
      <c r="FN61" s="247"/>
      <c r="FO61" s="247"/>
    </row>
    <row r="62" spans="3:171" x14ac:dyDescent="0.35">
      <c r="C62" s="440"/>
      <c r="D62" s="441"/>
      <c r="E62" s="441"/>
      <c r="F62" s="443"/>
      <c r="FK62" s="247"/>
      <c r="FL62" s="247"/>
      <c r="FM62" s="247"/>
      <c r="FN62" s="247"/>
      <c r="FO62" s="247"/>
    </row>
    <row r="63" spans="3:171" x14ac:dyDescent="0.35">
      <c r="FK63" s="248"/>
      <c r="FL63" s="248"/>
      <c r="FM63" s="248"/>
      <c r="FN63" s="248"/>
      <c r="FO63" s="248"/>
    </row>
    <row r="64" spans="3:171" x14ac:dyDescent="0.35">
      <c r="FK64" s="248"/>
      <c r="FL64" s="248"/>
      <c r="FM64" s="248"/>
      <c r="FN64" s="248"/>
      <c r="FO64" s="248"/>
    </row>
  </sheetData>
  <sortState xmlns:xlrd2="http://schemas.microsoft.com/office/spreadsheetml/2017/richdata2" ref="E38:F62">
    <sortCondition ref="F38:F62"/>
  </sortState>
  <mergeCells count="61">
    <mergeCell ref="CB1:CG1"/>
    <mergeCell ref="CB2:CD2"/>
    <mergeCell ref="CE2:CG2"/>
    <mergeCell ref="BN1:BS1"/>
    <mergeCell ref="BN2:BP2"/>
    <mergeCell ref="BQ2:BS2"/>
    <mergeCell ref="BU1:BZ1"/>
    <mergeCell ref="BU2:BW2"/>
    <mergeCell ref="BX2:BZ2"/>
    <mergeCell ref="AY2:BA2"/>
    <mergeCell ref="BB2:BD2"/>
    <mergeCell ref="AY1:BD1"/>
    <mergeCell ref="BG1:BL1"/>
    <mergeCell ref="BG2:BI2"/>
    <mergeCell ref="BJ2:BL2"/>
    <mergeCell ref="D19:D26"/>
    <mergeCell ref="D4:D10"/>
    <mergeCell ref="B2:B3"/>
    <mergeCell ref="A2:A3"/>
    <mergeCell ref="E36:E37"/>
    <mergeCell ref="C2:C3"/>
    <mergeCell ref="F36:F37"/>
    <mergeCell ref="FK2:FO2"/>
    <mergeCell ref="FQ2:FU2"/>
    <mergeCell ref="FW2:GA2"/>
    <mergeCell ref="D11:D14"/>
    <mergeCell ref="D15:D18"/>
    <mergeCell ref="DU2:DY2"/>
    <mergeCell ref="EA2:EF2"/>
    <mergeCell ref="EH2:EM2"/>
    <mergeCell ref="EO2:ET2"/>
    <mergeCell ref="EV2:FA2"/>
    <mergeCell ref="FC2:FH2"/>
    <mergeCell ref="D2:D3"/>
    <mergeCell ref="E2:E3"/>
    <mergeCell ref="F2:F3"/>
    <mergeCell ref="W2:Y2"/>
    <mergeCell ref="AR2:AV2"/>
    <mergeCell ref="U2:V2"/>
    <mergeCell ref="S2:T2"/>
    <mergeCell ref="Q2:R2"/>
    <mergeCell ref="G2:N2"/>
    <mergeCell ref="AA2:AC2"/>
    <mergeCell ref="AD2:AF2"/>
    <mergeCell ref="AI2:AK2"/>
    <mergeCell ref="AL2:AN2"/>
    <mergeCell ref="CJ1:CO1"/>
    <mergeCell ref="CR1:CW1"/>
    <mergeCell ref="CY1:DD1"/>
    <mergeCell ref="DF1:DK1"/>
    <mergeCell ref="DM1:DR1"/>
    <mergeCell ref="CJ2:CL2"/>
    <mergeCell ref="CM2:CO2"/>
    <mergeCell ref="CR2:CT2"/>
    <mergeCell ref="CU2:CW2"/>
    <mergeCell ref="CY2:DA2"/>
    <mergeCell ref="DB2:DD2"/>
    <mergeCell ref="DF2:DH2"/>
    <mergeCell ref="DI2:DK2"/>
    <mergeCell ref="DM2:DO2"/>
    <mergeCell ref="DP2:DR2"/>
  </mergeCells>
  <conditionalFormatting sqref="W4:Z28 AG4:AG28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{F2961E0A-D959-4C28-8F3E-3AD79F22BA68}</x14:id>
        </ext>
      </extLst>
    </cfRule>
  </conditionalFormatting>
  <conditionalFormatting sqref="AH4:AH28 AO4:AO28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{4CDEFF13-314A-4CEB-980E-EE825E521851}</x14:id>
        </ext>
      </extLst>
    </cfRule>
  </conditionalFormatting>
  <conditionalFormatting sqref="AX4:AX28 BE4:BE28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{AA1D1BB9-797F-46C4-8836-88470C959BD4}</x14:id>
        </ext>
      </extLst>
    </cfRule>
  </conditionalFormatting>
  <conditionalFormatting sqref="BF4:BF28 BM4:BM28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{BBDC4A4A-257C-4E4C-919E-8585F54F924F}</x14:id>
        </ext>
      </extLst>
    </cfRule>
  </conditionalFormatting>
  <conditionalFormatting sqref="BT4:BT28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{588CBA51-D4F3-4764-A67D-F3563BE4EB31}</x14:id>
        </ext>
      </extLst>
    </cfRule>
  </conditionalFormatting>
  <conditionalFormatting sqref="CA4:CA28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{2CC981D8-88AE-42CA-8CC4-8B6CB8D8258F}</x14:id>
        </ext>
      </extLst>
    </cfRule>
  </conditionalFormatting>
  <conditionalFormatting sqref="CH4:CH28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{DD687D27-7BCF-4D1F-BA66-1007D94DBCE6}</x14:id>
        </ext>
      </extLst>
    </cfRule>
  </conditionalFormatting>
  <conditionalFormatting sqref="CI4:CI28 CP4:CP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{FED074B0-7830-4073-ABEF-B1E0B66C2FF0}</x14:id>
        </ext>
      </extLst>
    </cfRule>
  </conditionalFormatting>
  <conditionalFormatting sqref="CQ4:CQ28 CX4:CX2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{A685ACC4-5B9D-4AF5-AEDE-D498250AFD0F}</x14:id>
        </ext>
      </extLst>
    </cfRule>
  </conditionalFormatting>
  <conditionalFormatting sqref="DE4:DE2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{0C529D73-A5DC-4B79-A374-4EEFBFF4095E}</x14:id>
        </ext>
      </extLst>
    </cfRule>
  </conditionalFormatting>
  <conditionalFormatting sqref="DL4:DL2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{7E85C1A8-54B9-462A-A375-73FE630D0549}</x14:id>
        </ext>
      </extLst>
    </cfRule>
  </conditionalFormatting>
  <conditionalFormatting sqref="DS4:DS2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{CDAA995A-ADE1-4979-8C7F-3B57B507427F}</x14:id>
        </ext>
      </extLst>
    </cfRule>
  </conditionalFormatting>
  <conditionalFormatting sqref="AB4:AB28">
    <cfRule type="cellIs" dxfId="2" priority="3" operator="lessThan">
      <formula>0.01</formula>
    </cfRule>
  </conditionalFormatting>
  <conditionalFormatting sqref="AA4:AA28">
    <cfRule type="cellIs" dxfId="1" priority="2" operator="lessThan">
      <formula>0.01</formula>
    </cfRule>
  </conditionalFormatting>
  <conditionalFormatting sqref="AC4:AC28">
    <cfRule type="cellIs" dxfId="0" priority="1" operator="lessThan">
      <formula>0.01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961E0A-D959-4C28-8F3E-3AD79F22BA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W4:Z28 AG4:AG28</xm:sqref>
        </x14:conditionalFormatting>
        <x14:conditionalFormatting xmlns:xm="http://schemas.microsoft.com/office/excel/2006/main">
          <x14:cfRule type="dataBar" id="{4CDEFF13-314A-4CEB-980E-EE825E5218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AH4:AH28 AO4:AO28</xm:sqref>
        </x14:conditionalFormatting>
        <x14:conditionalFormatting xmlns:xm="http://schemas.microsoft.com/office/excel/2006/main">
          <x14:cfRule type="dataBar" id="{AA1D1BB9-797F-46C4-8836-88470C959B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AX4:AX28 BE4:BE28</xm:sqref>
        </x14:conditionalFormatting>
        <x14:conditionalFormatting xmlns:xm="http://schemas.microsoft.com/office/excel/2006/main">
          <x14:cfRule type="dataBar" id="{BBDC4A4A-257C-4E4C-919E-8585F54F92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BF4:BF28 BM4:BM28</xm:sqref>
        </x14:conditionalFormatting>
        <x14:conditionalFormatting xmlns:xm="http://schemas.microsoft.com/office/excel/2006/main">
          <x14:cfRule type="dataBar" id="{588CBA51-D4F3-4764-A67D-F3563BE4EB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BT4:BT28</xm:sqref>
        </x14:conditionalFormatting>
        <x14:conditionalFormatting xmlns:xm="http://schemas.microsoft.com/office/excel/2006/main">
          <x14:cfRule type="dataBar" id="{2CC981D8-88AE-42CA-8CC4-8B6CB8D825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CA4:CA28</xm:sqref>
        </x14:conditionalFormatting>
        <x14:conditionalFormatting xmlns:xm="http://schemas.microsoft.com/office/excel/2006/main">
          <x14:cfRule type="dataBar" id="{DD687D27-7BCF-4D1F-BA66-1007D94DBC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CH4:CH28</xm:sqref>
        </x14:conditionalFormatting>
        <x14:conditionalFormatting xmlns:xm="http://schemas.microsoft.com/office/excel/2006/main">
          <x14:cfRule type="dataBar" id="{FED074B0-7830-4073-ABEF-B1E0B66C2F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CI4:CI28 CP4:CP28</xm:sqref>
        </x14:conditionalFormatting>
        <x14:conditionalFormatting xmlns:xm="http://schemas.microsoft.com/office/excel/2006/main">
          <x14:cfRule type="dataBar" id="{A685ACC4-5B9D-4AF5-AEDE-D498250AFD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CQ4:CQ28 CX4:CX28</xm:sqref>
        </x14:conditionalFormatting>
        <x14:conditionalFormatting xmlns:xm="http://schemas.microsoft.com/office/excel/2006/main">
          <x14:cfRule type="dataBar" id="{0C529D73-A5DC-4B79-A374-4EEFBFF409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DE4:DE28</xm:sqref>
        </x14:conditionalFormatting>
        <x14:conditionalFormatting xmlns:xm="http://schemas.microsoft.com/office/excel/2006/main">
          <x14:cfRule type="dataBar" id="{7E85C1A8-54B9-462A-A375-73FE630D05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DL4:DL28</xm:sqref>
        </x14:conditionalFormatting>
        <x14:conditionalFormatting xmlns:xm="http://schemas.microsoft.com/office/excel/2006/main">
          <x14:cfRule type="dataBar" id="{CDAA995A-ADE1-4979-8C7F-3B57B50742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DS4:DS28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3">
    <tabColor rgb="FFFFFF00"/>
  </sheetPr>
  <dimension ref="B17:Q44"/>
  <sheetViews>
    <sheetView topLeftCell="B33" workbookViewId="0">
      <selection activeCell="C44" sqref="C44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66</v>
      </c>
      <c r="E17" s="137" t="s">
        <v>72</v>
      </c>
    </row>
    <row r="18" spans="2:17" ht="15.5" x14ac:dyDescent="0.35">
      <c r="B18" s="7" t="s">
        <v>7</v>
      </c>
      <c r="C18" s="3" t="s">
        <v>83</v>
      </c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88">
        <v>1</v>
      </c>
      <c r="C24" s="407">
        <v>2002</v>
      </c>
      <c r="D24" s="202"/>
      <c r="E24" s="203">
        <v>1</v>
      </c>
      <c r="F24" s="203">
        <v>1</v>
      </c>
      <c r="G24" s="203"/>
      <c r="H24" s="203"/>
      <c r="I24" s="204"/>
      <c r="J24" s="188">
        <v>52.11</v>
      </c>
      <c r="K24" s="417">
        <v>774.11</v>
      </c>
      <c r="L24" s="418">
        <v>847.22</v>
      </c>
      <c r="M24" s="82"/>
    </row>
    <row r="25" spans="2:17" x14ac:dyDescent="0.35">
      <c r="B25" s="183">
        <v>2</v>
      </c>
      <c r="C25" s="226">
        <v>2009</v>
      </c>
      <c r="D25" s="197"/>
      <c r="E25" s="186">
        <v>1</v>
      </c>
      <c r="F25" s="186">
        <v>1</v>
      </c>
      <c r="G25" s="186"/>
      <c r="H25" s="186"/>
      <c r="I25" s="204"/>
      <c r="J25" s="183">
        <v>35.15</v>
      </c>
      <c r="K25" s="199">
        <v>775.39</v>
      </c>
      <c r="L25" s="228">
        <v>829.21</v>
      </c>
      <c r="M25" s="82"/>
    </row>
    <row r="26" spans="2:17" x14ac:dyDescent="0.35">
      <c r="B26" s="183">
        <v>3</v>
      </c>
      <c r="C26" s="406">
        <v>2016</v>
      </c>
      <c r="D26" s="197"/>
      <c r="E26" s="186"/>
      <c r="F26" s="186"/>
      <c r="G26" s="186">
        <v>1</v>
      </c>
      <c r="H26" s="186">
        <v>1</v>
      </c>
      <c r="I26" s="187"/>
      <c r="J26" s="183">
        <v>22.69</v>
      </c>
      <c r="K26" s="199">
        <v>764.34</v>
      </c>
      <c r="L26" s="228">
        <v>804.74</v>
      </c>
      <c r="M26" s="82"/>
    </row>
    <row r="27" spans="2:17" x14ac:dyDescent="0.35">
      <c r="B27" s="9">
        <v>4</v>
      </c>
      <c r="C27" s="113"/>
      <c r="D27" s="162"/>
      <c r="E27" s="10"/>
      <c r="F27" s="10"/>
      <c r="G27" s="10"/>
      <c r="H27" s="10"/>
      <c r="I27" s="163"/>
      <c r="J27" s="9"/>
      <c r="K27" s="10"/>
      <c r="L27" s="8"/>
      <c r="M27" s="82"/>
    </row>
    <row r="28" spans="2:17" x14ac:dyDescent="0.35">
      <c r="B28" s="9">
        <v>5</v>
      </c>
      <c r="C28" s="21"/>
      <c r="D28" s="164"/>
      <c r="E28" s="10"/>
      <c r="F28" s="10"/>
      <c r="G28" s="10"/>
      <c r="H28" s="10"/>
      <c r="I28" s="163"/>
      <c r="J28" s="9"/>
      <c r="K28" s="10"/>
      <c r="L28" s="8"/>
      <c r="M28" s="82"/>
    </row>
    <row r="29" spans="2:17" ht="15" thickBot="1" x14ac:dyDescent="0.4">
      <c r="B29" s="9">
        <v>6</v>
      </c>
      <c r="C29" s="21"/>
      <c r="D29" s="164"/>
      <c r="E29" s="10"/>
      <c r="F29" s="10"/>
      <c r="G29" s="10"/>
      <c r="H29" s="10"/>
      <c r="I29" s="163"/>
      <c r="J29" s="9"/>
      <c r="K29" s="10"/>
      <c r="L29" s="8"/>
      <c r="M29" s="82"/>
    </row>
    <row r="30" spans="2:17" x14ac:dyDescent="0.35">
      <c r="B30" s="9">
        <v>7</v>
      </c>
      <c r="C30" s="21"/>
      <c r="D30" s="164"/>
      <c r="E30" s="10"/>
      <c r="F30" s="10"/>
      <c r="G30" s="10"/>
      <c r="H30" s="10"/>
      <c r="I30" s="163"/>
      <c r="J30" s="9"/>
      <c r="K30" s="10"/>
      <c r="L30" s="8"/>
      <c r="M30" s="82"/>
      <c r="O30" s="759" t="s">
        <v>159</v>
      </c>
      <c r="P30" s="760"/>
      <c r="Q30" s="761"/>
    </row>
    <row r="31" spans="2:17" ht="15" thickBot="1" x14ac:dyDescent="0.4">
      <c r="B31" s="9">
        <v>8</v>
      </c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>
        <v>9</v>
      </c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1">
        <f>(J24-J26)/(($C26-$C24))</f>
        <v>2.1014285714285714</v>
      </c>
      <c r="P32" s="361">
        <f>(K24-K26)/(($C26-$C24))</f>
        <v>0.69785714285714151</v>
      </c>
      <c r="Q32" s="361">
        <f>(L24-L26)/(($C26-$C24))</f>
        <v>3.0342857142857156</v>
      </c>
    </row>
    <row r="33" spans="2:17" x14ac:dyDescent="0.35">
      <c r="B33" s="9">
        <v>10</v>
      </c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59">
        <f>O32/J24</f>
        <v>4.0326781259423745E-2</v>
      </c>
      <c r="P33" s="359">
        <f>P32/K24</f>
        <v>9.0149609597749863E-4</v>
      </c>
      <c r="Q33" s="359">
        <f>Q32/L24</f>
        <v>3.5814613846293945E-3</v>
      </c>
    </row>
    <row r="34" spans="2:17" x14ac:dyDescent="0.35">
      <c r="B34" s="9">
        <v>11</v>
      </c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>
        <v>12</v>
      </c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>
        <v>13</v>
      </c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>
        <v>14</v>
      </c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>
        <v>15</v>
      </c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137" t="s">
        <v>128</v>
      </c>
    </row>
    <row r="41" spans="2:17" x14ac:dyDescent="0.35">
      <c r="C41" s="140" t="s">
        <v>16</v>
      </c>
      <c r="D41" s="141" t="s">
        <v>17</v>
      </c>
    </row>
    <row r="42" spans="2:17" x14ac:dyDescent="0.35">
      <c r="B42" s="27" t="s">
        <v>13</v>
      </c>
      <c r="C42" s="140">
        <f>J26-J24</f>
        <v>-29.419999999999998</v>
      </c>
      <c r="D42" s="125">
        <f>(J24-J26)/J24</f>
        <v>0.56457493763193245</v>
      </c>
    </row>
    <row r="43" spans="2:17" x14ac:dyDescent="0.35">
      <c r="B43" s="28" t="s">
        <v>14</v>
      </c>
      <c r="C43" s="126">
        <f>K26-K24</f>
        <v>-9.7699999999999818</v>
      </c>
      <c r="D43" s="127">
        <f>(K24-K26)/K24</f>
        <v>1.2620945343684983E-2</v>
      </c>
    </row>
    <row r="44" spans="2:17" x14ac:dyDescent="0.35">
      <c r="B44" s="29" t="s">
        <v>15</v>
      </c>
      <c r="C44" s="132">
        <f>L26-L24</f>
        <v>-42.480000000000018</v>
      </c>
      <c r="D44" s="129">
        <f>(L24-L26)/L24</f>
        <v>5.0140459384811521E-2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4">
    <tabColor rgb="FFFFFF00"/>
  </sheetPr>
  <dimension ref="B17:Q44"/>
  <sheetViews>
    <sheetView topLeftCell="A10" workbookViewId="0">
      <selection activeCell="D44" sqref="D44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66</v>
      </c>
      <c r="E17" s="137" t="s">
        <v>72</v>
      </c>
    </row>
    <row r="18" spans="2:17" ht="15.5" x14ac:dyDescent="0.35">
      <c r="B18" s="7" t="s">
        <v>7</v>
      </c>
      <c r="C18" s="3" t="s">
        <v>84</v>
      </c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4"/>
      <c r="C24" s="83"/>
      <c r="D24" s="160"/>
      <c r="E24" s="31"/>
      <c r="F24" s="31"/>
      <c r="G24" s="31"/>
      <c r="H24" s="31"/>
      <c r="I24" s="161"/>
      <c r="J24" s="14"/>
      <c r="K24" s="15"/>
      <c r="L24" s="16"/>
      <c r="M24" s="82"/>
    </row>
    <row r="25" spans="2:17" x14ac:dyDescent="0.35">
      <c r="B25" s="9"/>
      <c r="C25" s="89"/>
      <c r="D25" s="162"/>
      <c r="E25" s="10"/>
      <c r="F25" s="10"/>
      <c r="G25" s="10"/>
      <c r="H25" s="10"/>
      <c r="I25" s="161"/>
      <c r="J25" s="9"/>
      <c r="K25" s="10"/>
      <c r="L25" s="8"/>
      <c r="M25" s="82"/>
    </row>
    <row r="26" spans="2:17" x14ac:dyDescent="0.35">
      <c r="B26" s="183">
        <v>3</v>
      </c>
      <c r="C26" s="228">
        <v>2002</v>
      </c>
      <c r="D26" s="197"/>
      <c r="E26" s="186">
        <v>1</v>
      </c>
      <c r="F26" s="186">
        <v>1</v>
      </c>
      <c r="G26" s="186"/>
      <c r="H26" s="186"/>
      <c r="I26" s="187"/>
      <c r="J26" s="198">
        <v>125.77</v>
      </c>
      <c r="K26" s="199">
        <v>850.5200000000001</v>
      </c>
      <c r="L26" s="200">
        <v>1488.15</v>
      </c>
      <c r="M26" s="82"/>
    </row>
    <row r="27" spans="2:17" x14ac:dyDescent="0.35">
      <c r="B27" s="183">
        <v>4</v>
      </c>
      <c r="C27" s="228">
        <v>2009</v>
      </c>
      <c r="D27" s="197"/>
      <c r="E27" s="186">
        <v>1</v>
      </c>
      <c r="F27" s="186">
        <v>1</v>
      </c>
      <c r="G27" s="186"/>
      <c r="H27" s="186"/>
      <c r="I27" s="187"/>
      <c r="J27" s="198">
        <v>116.61</v>
      </c>
      <c r="K27" s="199">
        <v>804.56</v>
      </c>
      <c r="L27" s="200">
        <v>1416.5</v>
      </c>
      <c r="M27" s="82"/>
    </row>
    <row r="28" spans="2:17" x14ac:dyDescent="0.35">
      <c r="B28" s="183">
        <v>5</v>
      </c>
      <c r="C28" s="228">
        <v>2015</v>
      </c>
      <c r="D28" s="185"/>
      <c r="E28" s="186">
        <v>1</v>
      </c>
      <c r="F28" s="186">
        <v>1</v>
      </c>
      <c r="G28" s="186"/>
      <c r="H28" s="186"/>
      <c r="I28" s="187"/>
      <c r="J28" s="198">
        <v>84.259036249999994</v>
      </c>
      <c r="K28" s="199">
        <v>755.98165999999992</v>
      </c>
      <c r="L28" s="200">
        <v>1284.3073059999999</v>
      </c>
      <c r="M28" s="223"/>
    </row>
    <row r="29" spans="2:17" ht="15" thickBot="1" x14ac:dyDescent="0.4">
      <c r="B29" s="183">
        <v>6</v>
      </c>
      <c r="C29" s="228">
        <v>2020</v>
      </c>
      <c r="D29" s="185"/>
      <c r="E29" s="186"/>
      <c r="F29" s="186"/>
      <c r="G29" s="186">
        <v>1</v>
      </c>
      <c r="H29" s="186">
        <v>1</v>
      </c>
      <c r="I29" s="187"/>
      <c r="J29" s="198">
        <v>102.9</v>
      </c>
      <c r="K29" s="199">
        <v>736.35</v>
      </c>
      <c r="L29" s="200">
        <v>1294.76</v>
      </c>
      <c r="M29" s="82"/>
    </row>
    <row r="30" spans="2:17" x14ac:dyDescent="0.35">
      <c r="B30" s="9">
        <v>7</v>
      </c>
      <c r="C30" s="21"/>
      <c r="D30" s="164"/>
      <c r="E30" s="10"/>
      <c r="F30" s="10"/>
      <c r="G30" s="10"/>
      <c r="H30" s="10"/>
      <c r="I30" s="163"/>
      <c r="J30" s="9"/>
      <c r="K30" s="10"/>
      <c r="L30" s="8"/>
      <c r="M30" s="82"/>
      <c r="O30" s="759" t="s">
        <v>159</v>
      </c>
      <c r="P30" s="760"/>
      <c r="Q30" s="761"/>
    </row>
    <row r="31" spans="2:17" ht="15" thickBot="1" x14ac:dyDescent="0.4">
      <c r="B31" s="9">
        <v>8</v>
      </c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>
        <v>9</v>
      </c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1">
        <f>(J26-J29)/(($C29-$C26))</f>
        <v>1.270555555555555</v>
      </c>
      <c r="P32" s="361">
        <f>(K26-K29)/(($C29-$C26))</f>
        <v>6.3427777777777816</v>
      </c>
      <c r="Q32" s="361">
        <f>(L26-L29)/(($C29-$C26))</f>
        <v>10.743888888888895</v>
      </c>
    </row>
    <row r="33" spans="2:17" x14ac:dyDescent="0.35">
      <c r="B33" s="9">
        <v>10</v>
      </c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59">
        <f>O32/J26</f>
        <v>1.0102214801268626E-2</v>
      </c>
      <c r="P33" s="359">
        <f>P32/K26</f>
        <v>7.4575292500796931E-3</v>
      </c>
      <c r="Q33" s="359">
        <f>Q32/L26</f>
        <v>7.2196276510357793E-3</v>
      </c>
    </row>
    <row r="34" spans="2:17" x14ac:dyDescent="0.35">
      <c r="B34" s="9">
        <v>11</v>
      </c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>
        <v>12</v>
      </c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>
        <v>13</v>
      </c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>
        <v>14</v>
      </c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>
        <v>15</v>
      </c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137" t="s">
        <v>128</v>
      </c>
    </row>
    <row r="41" spans="2:17" x14ac:dyDescent="0.35">
      <c r="C41" s="144" t="s">
        <v>16</v>
      </c>
      <c r="D41" s="145" t="s">
        <v>17</v>
      </c>
    </row>
    <row r="42" spans="2:17" x14ac:dyDescent="0.35">
      <c r="B42" s="27" t="s">
        <v>13</v>
      </c>
      <c r="C42" s="101">
        <f>J29-J26</f>
        <v>-22.86999999999999</v>
      </c>
      <c r="D42" s="125">
        <f>(J26-J29)/J26</f>
        <v>0.18183986642283526</v>
      </c>
    </row>
    <row r="43" spans="2:17" x14ac:dyDescent="0.35">
      <c r="B43" s="28" t="s">
        <v>14</v>
      </c>
      <c r="C43" s="103">
        <f>K29-K26</f>
        <v>-114.17000000000007</v>
      </c>
      <c r="D43" s="127">
        <f>(K26-K29)/K26</f>
        <v>0.1342355265014345</v>
      </c>
    </row>
    <row r="44" spans="2:17" x14ac:dyDescent="0.35">
      <c r="B44" s="29" t="s">
        <v>15</v>
      </c>
      <c r="C44" s="105">
        <f>L29-L26</f>
        <v>-193.3900000000001</v>
      </c>
      <c r="D44" s="129">
        <f>(L26-L29)/L26</f>
        <v>0.129953297718644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5">
    <tabColor rgb="FFFFFF00"/>
  </sheetPr>
  <dimension ref="B17:Q44"/>
  <sheetViews>
    <sheetView topLeftCell="A16" workbookViewId="0">
      <selection activeCell="O32" sqref="O32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66</v>
      </c>
      <c r="E17" s="137" t="s">
        <v>72</v>
      </c>
    </row>
    <row r="18" spans="2:17" ht="15.5" x14ac:dyDescent="0.35">
      <c r="B18" s="7" t="s">
        <v>7</v>
      </c>
      <c r="C18" s="3" t="s">
        <v>120</v>
      </c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88">
        <v>1</v>
      </c>
      <c r="C24" s="407">
        <v>2015</v>
      </c>
      <c r="D24" s="202">
        <v>1</v>
      </c>
      <c r="E24" s="203"/>
      <c r="F24" s="203"/>
      <c r="G24" s="203"/>
      <c r="H24" s="203"/>
      <c r="I24" s="204" t="s">
        <v>121</v>
      </c>
      <c r="J24" s="188">
        <v>389.99</v>
      </c>
      <c r="K24" s="417">
        <v>2360.2600000000002</v>
      </c>
      <c r="L24" s="418">
        <v>3195.69</v>
      </c>
      <c r="M24" s="82"/>
    </row>
    <row r="25" spans="2:17" x14ac:dyDescent="0.35">
      <c r="B25" s="9">
        <v>2</v>
      </c>
      <c r="C25" s="118"/>
      <c r="D25" s="162"/>
      <c r="E25" s="10"/>
      <c r="F25" s="10"/>
      <c r="G25" s="10"/>
      <c r="H25" s="10"/>
      <c r="I25" s="161"/>
      <c r="J25" s="9"/>
      <c r="K25" s="10"/>
      <c r="L25" s="8"/>
      <c r="M25" s="82"/>
    </row>
    <row r="26" spans="2:17" x14ac:dyDescent="0.35">
      <c r="B26" s="9">
        <v>3</v>
      </c>
      <c r="C26" s="113"/>
      <c r="D26" s="162"/>
      <c r="E26" s="10"/>
      <c r="F26" s="10"/>
      <c r="G26" s="10"/>
      <c r="H26" s="10"/>
      <c r="I26" s="163"/>
      <c r="J26" s="9"/>
      <c r="K26" s="10"/>
      <c r="L26" s="8"/>
      <c r="M26" s="82"/>
    </row>
    <row r="27" spans="2:17" x14ac:dyDescent="0.35">
      <c r="B27" s="9">
        <v>4</v>
      </c>
      <c r="C27" s="113"/>
      <c r="D27" s="162"/>
      <c r="E27" s="10"/>
      <c r="F27" s="10"/>
      <c r="G27" s="10"/>
      <c r="H27" s="10"/>
      <c r="I27" s="163"/>
      <c r="J27" s="9"/>
      <c r="K27" s="10"/>
      <c r="L27" s="8"/>
      <c r="M27" s="82"/>
    </row>
    <row r="28" spans="2:17" x14ac:dyDescent="0.35">
      <c r="B28" s="9">
        <v>5</v>
      </c>
      <c r="C28" s="21"/>
      <c r="D28" s="164"/>
      <c r="E28" s="10"/>
      <c r="F28" s="10"/>
      <c r="G28" s="10"/>
      <c r="H28" s="10"/>
      <c r="I28" s="163"/>
      <c r="J28" s="90"/>
      <c r="K28" s="91"/>
      <c r="L28" s="92"/>
      <c r="M28" s="223"/>
    </row>
    <row r="29" spans="2:17" ht="15" thickBot="1" x14ac:dyDescent="0.4">
      <c r="B29" s="9">
        <v>6</v>
      </c>
      <c r="C29" s="21"/>
      <c r="D29" s="164"/>
      <c r="E29" s="10"/>
      <c r="F29" s="10"/>
      <c r="G29" s="10"/>
      <c r="H29" s="10"/>
      <c r="I29" s="163"/>
      <c r="J29" s="9"/>
      <c r="K29" s="10"/>
      <c r="L29" s="8"/>
      <c r="M29" s="82"/>
    </row>
    <row r="30" spans="2:17" x14ac:dyDescent="0.35">
      <c r="B30" s="9">
        <v>7</v>
      </c>
      <c r="C30" s="21"/>
      <c r="D30" s="164"/>
      <c r="E30" s="10"/>
      <c r="F30" s="10"/>
      <c r="G30" s="10"/>
      <c r="H30" s="10"/>
      <c r="I30" s="163"/>
      <c r="J30" s="9"/>
      <c r="K30" s="10"/>
      <c r="L30" s="8"/>
      <c r="M30" s="82"/>
      <c r="O30" s="759" t="s">
        <v>159</v>
      </c>
      <c r="P30" s="760"/>
      <c r="Q30" s="761"/>
    </row>
    <row r="31" spans="2:17" ht="15" thickBot="1" x14ac:dyDescent="0.4">
      <c r="B31" s="9">
        <v>8</v>
      </c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>
        <v>9</v>
      </c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0" t="e">
        <f>(J25-J28)/(($C28-$C25)/365)</f>
        <v>#DIV/0!</v>
      </c>
      <c r="P32" s="360" t="e">
        <f t="shared" ref="P32:Q32" si="0">(K25-K28)/(($C28-$C25)/365)</f>
        <v>#DIV/0!</v>
      </c>
      <c r="Q32" s="360" t="e">
        <f t="shared" si="0"/>
        <v>#DIV/0!</v>
      </c>
    </row>
    <row r="33" spans="2:17" x14ac:dyDescent="0.35">
      <c r="B33" s="9">
        <v>10</v>
      </c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59" t="e">
        <f>O32/J28</f>
        <v>#DIV/0!</v>
      </c>
      <c r="P33" s="359" t="e">
        <f t="shared" ref="P33:Q33" si="1">P32/K28</f>
        <v>#DIV/0!</v>
      </c>
      <c r="Q33" s="359" t="e">
        <f t="shared" si="1"/>
        <v>#DIV/0!</v>
      </c>
    </row>
    <row r="34" spans="2:17" x14ac:dyDescent="0.35">
      <c r="B34" s="9">
        <v>11</v>
      </c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>
        <v>12</v>
      </c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>
        <v>13</v>
      </c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>
        <v>14</v>
      </c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>
        <v>15</v>
      </c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137" t="s">
        <v>128</v>
      </c>
    </row>
    <row r="41" spans="2:17" x14ac:dyDescent="0.35">
      <c r="C41" s="144" t="s">
        <v>16</v>
      </c>
      <c r="D41" s="145" t="s">
        <v>17</v>
      </c>
    </row>
    <row r="42" spans="2:17" x14ac:dyDescent="0.35">
      <c r="B42" s="27" t="s">
        <v>13</v>
      </c>
      <c r="C42" s="101">
        <f>J24-J24</f>
        <v>0</v>
      </c>
      <c r="D42" s="125">
        <f>(J24-J24)/J24</f>
        <v>0</v>
      </c>
    </row>
    <row r="43" spans="2:17" x14ac:dyDescent="0.35">
      <c r="B43" s="28" t="s">
        <v>14</v>
      </c>
      <c r="C43" s="103">
        <f>K24-K24</f>
        <v>0</v>
      </c>
      <c r="D43" s="127">
        <f>(K24-K24)/K24</f>
        <v>0</v>
      </c>
    </row>
    <row r="44" spans="2:17" x14ac:dyDescent="0.35">
      <c r="B44" s="29" t="s">
        <v>15</v>
      </c>
      <c r="C44" s="105">
        <f>L24-L24</f>
        <v>0</v>
      </c>
      <c r="D44" s="129">
        <f>(L24-L24)/L24</f>
        <v>0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6">
    <tabColor rgb="FFFFFF00"/>
  </sheetPr>
  <dimension ref="B17:Q44"/>
  <sheetViews>
    <sheetView workbookViewId="0"/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66</v>
      </c>
      <c r="E17" s="137" t="s">
        <v>72</v>
      </c>
    </row>
    <row r="18" spans="2:17" ht="15.5" x14ac:dyDescent="0.35">
      <c r="B18" s="7" t="s">
        <v>7</v>
      </c>
      <c r="C18" s="3" t="s">
        <v>122</v>
      </c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88">
        <v>1</v>
      </c>
      <c r="C24" s="407">
        <v>2004</v>
      </c>
      <c r="D24" s="202"/>
      <c r="E24" s="203">
        <v>1</v>
      </c>
      <c r="F24" s="203">
        <v>1</v>
      </c>
      <c r="G24" s="203"/>
      <c r="H24" s="203"/>
      <c r="I24" s="204"/>
      <c r="J24" s="188">
        <v>4.2</v>
      </c>
      <c r="K24" s="417">
        <v>90.12</v>
      </c>
      <c r="L24" s="418">
        <v>94.32</v>
      </c>
      <c r="M24" s="82"/>
    </row>
    <row r="25" spans="2:17" x14ac:dyDescent="0.35">
      <c r="B25" s="183">
        <v>2</v>
      </c>
      <c r="C25" s="226">
        <v>2011</v>
      </c>
      <c r="D25" s="197"/>
      <c r="E25" s="186">
        <v>1</v>
      </c>
      <c r="F25" s="186"/>
      <c r="G25" s="186">
        <v>1</v>
      </c>
      <c r="H25" s="186"/>
      <c r="I25" s="204"/>
      <c r="J25" s="183">
        <v>4.41</v>
      </c>
      <c r="K25" s="186">
        <v>91.63</v>
      </c>
      <c r="L25" s="228">
        <v>96.04</v>
      </c>
      <c r="M25" s="82"/>
    </row>
    <row r="26" spans="2:17" x14ac:dyDescent="0.35">
      <c r="B26" s="183">
        <v>3</v>
      </c>
      <c r="C26" s="406">
        <v>2018</v>
      </c>
      <c r="D26" s="197"/>
      <c r="E26" s="186"/>
      <c r="F26" s="186"/>
      <c r="G26" s="186">
        <v>1</v>
      </c>
      <c r="H26" s="186">
        <v>1</v>
      </c>
      <c r="I26" s="187"/>
      <c r="J26" s="183">
        <v>4.4000000000000004</v>
      </c>
      <c r="K26" s="186">
        <v>91.66</v>
      </c>
      <c r="L26" s="228">
        <v>96.06</v>
      </c>
      <c r="M26" s="82"/>
    </row>
    <row r="27" spans="2:17" x14ac:dyDescent="0.35">
      <c r="B27" s="9">
        <v>4</v>
      </c>
      <c r="C27" s="113"/>
      <c r="D27" s="162"/>
      <c r="E27" s="10"/>
      <c r="F27" s="10"/>
      <c r="G27" s="10"/>
      <c r="H27" s="10"/>
      <c r="I27" s="163"/>
      <c r="J27" s="9"/>
      <c r="K27" s="10"/>
      <c r="L27" s="8"/>
      <c r="M27" s="82"/>
    </row>
    <row r="28" spans="2:17" x14ac:dyDescent="0.35">
      <c r="B28" s="9">
        <v>5</v>
      </c>
      <c r="C28" s="21"/>
      <c r="D28" s="164"/>
      <c r="E28" s="10"/>
      <c r="F28" s="10"/>
      <c r="G28" s="10"/>
      <c r="H28" s="10"/>
      <c r="I28" s="163"/>
      <c r="J28" s="90"/>
      <c r="K28" s="91"/>
      <c r="L28" s="92"/>
      <c r="M28" s="223"/>
    </row>
    <row r="29" spans="2:17" ht="15" thickBot="1" x14ac:dyDescent="0.4">
      <c r="B29" s="9">
        <v>6</v>
      </c>
      <c r="C29" s="21"/>
      <c r="D29" s="164"/>
      <c r="E29" s="10"/>
      <c r="F29" s="10"/>
      <c r="G29" s="10"/>
      <c r="H29" s="10"/>
      <c r="I29" s="163"/>
      <c r="J29" s="9"/>
      <c r="K29" s="10"/>
      <c r="L29" s="8"/>
      <c r="M29" s="82"/>
    </row>
    <row r="30" spans="2:17" x14ac:dyDescent="0.35">
      <c r="B30" s="9">
        <v>7</v>
      </c>
      <c r="C30" s="21"/>
      <c r="D30" s="164"/>
      <c r="E30" s="10"/>
      <c r="F30" s="10"/>
      <c r="G30" s="10"/>
      <c r="H30" s="10"/>
      <c r="I30" s="163"/>
      <c r="J30" s="9"/>
      <c r="K30" s="10"/>
      <c r="L30" s="8"/>
      <c r="M30" s="82"/>
      <c r="O30" s="759" t="s">
        <v>159</v>
      </c>
      <c r="P30" s="760"/>
      <c r="Q30" s="761"/>
    </row>
    <row r="31" spans="2:17" ht="15" thickBot="1" x14ac:dyDescent="0.4">
      <c r="B31" s="9">
        <v>8</v>
      </c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>
        <v>9</v>
      </c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1">
        <f>(J24-J26)/(($C26-$C24))</f>
        <v>-1.4285714285714299E-2</v>
      </c>
      <c r="P32" s="361">
        <f>(K24-K26)/(($C26-$C24))</f>
        <v>-0.10999999999999943</v>
      </c>
      <c r="Q32" s="361">
        <f>(L24-L26)/(($C26-$C24))</f>
        <v>-0.12428571428571493</v>
      </c>
    </row>
    <row r="33" spans="2:17" x14ac:dyDescent="0.35">
      <c r="B33" s="9">
        <v>10</v>
      </c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59">
        <f>O32/J24</f>
        <v>-3.40136054421769E-3</v>
      </c>
      <c r="P33" s="359">
        <f>P32/K24</f>
        <v>-1.2205947625388307E-3</v>
      </c>
      <c r="Q33" s="359">
        <f>Q32/L24</f>
        <v>-1.3177026535805231E-3</v>
      </c>
    </row>
    <row r="34" spans="2:17" x14ac:dyDescent="0.35">
      <c r="B34" s="9">
        <v>11</v>
      </c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>
        <v>12</v>
      </c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>
        <v>13</v>
      </c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>
        <v>14</v>
      </c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>
        <v>15</v>
      </c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137" t="s">
        <v>128</v>
      </c>
    </row>
    <row r="41" spans="2:17" x14ac:dyDescent="0.35">
      <c r="C41" s="144" t="s">
        <v>16</v>
      </c>
      <c r="D41" s="145" t="s">
        <v>17</v>
      </c>
    </row>
    <row r="42" spans="2:17" x14ac:dyDescent="0.35">
      <c r="B42" s="27" t="s">
        <v>13</v>
      </c>
      <c r="C42" s="101">
        <f>J26-J24</f>
        <v>0.20000000000000018</v>
      </c>
      <c r="D42" s="125">
        <f>(J24-J26)/J24</f>
        <v>-4.7619047619047658E-2</v>
      </c>
    </row>
    <row r="43" spans="2:17" x14ac:dyDescent="0.35">
      <c r="B43" s="28" t="s">
        <v>14</v>
      </c>
      <c r="C43" s="103">
        <f>K26-K24</f>
        <v>1.539999999999992</v>
      </c>
      <c r="D43" s="127">
        <f>(K24-K26)/K24</f>
        <v>-1.7088326675543629E-2</v>
      </c>
    </row>
    <row r="44" spans="2:17" x14ac:dyDescent="0.35">
      <c r="B44" s="29" t="s">
        <v>15</v>
      </c>
      <c r="C44" s="105">
        <f>L26-L24</f>
        <v>1.7400000000000091</v>
      </c>
      <c r="D44" s="129">
        <f>(L24-L26)/L24</f>
        <v>-1.8447837150127325E-2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7">
    <tabColor rgb="FFFFFF00"/>
  </sheetPr>
  <dimension ref="B17:Q44"/>
  <sheetViews>
    <sheetView workbookViewId="0"/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66</v>
      </c>
      <c r="E17" s="137" t="s">
        <v>72</v>
      </c>
    </row>
    <row r="18" spans="2:17" ht="15.5" x14ac:dyDescent="0.35">
      <c r="B18" s="7" t="s">
        <v>7</v>
      </c>
      <c r="C18" s="3" t="s">
        <v>123</v>
      </c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88">
        <v>1</v>
      </c>
      <c r="C24" s="407">
        <v>2006</v>
      </c>
      <c r="D24" s="202"/>
      <c r="E24" s="203">
        <v>1</v>
      </c>
      <c r="F24" s="203">
        <v>1</v>
      </c>
      <c r="G24" s="203"/>
      <c r="H24" s="203"/>
      <c r="I24" s="204"/>
      <c r="J24" s="188">
        <v>7.23</v>
      </c>
      <c r="K24" s="417">
        <v>674.96</v>
      </c>
      <c r="L24" s="418">
        <v>682.19</v>
      </c>
      <c r="M24" s="82"/>
    </row>
    <row r="25" spans="2:17" x14ac:dyDescent="0.35">
      <c r="B25" s="183">
        <v>2</v>
      </c>
      <c r="C25" s="226">
        <v>2009</v>
      </c>
      <c r="D25" s="197"/>
      <c r="E25" s="186">
        <v>1</v>
      </c>
      <c r="F25" s="186">
        <v>1</v>
      </c>
      <c r="G25" s="186"/>
      <c r="H25" s="186"/>
      <c r="I25" s="204"/>
      <c r="J25" s="183">
        <v>5.49</v>
      </c>
      <c r="K25" s="186">
        <v>658.26</v>
      </c>
      <c r="L25" s="228">
        <v>663.75</v>
      </c>
      <c r="M25" s="82"/>
    </row>
    <row r="26" spans="2:17" x14ac:dyDescent="0.35">
      <c r="B26" s="183">
        <v>3</v>
      </c>
      <c r="C26" s="406">
        <v>2016</v>
      </c>
      <c r="D26" s="197"/>
      <c r="E26" s="186"/>
      <c r="F26" s="186"/>
      <c r="G26" s="186">
        <v>1</v>
      </c>
      <c r="H26" s="186">
        <v>1</v>
      </c>
      <c r="I26" s="187"/>
      <c r="J26" s="183">
        <v>3.42</v>
      </c>
      <c r="K26" s="186">
        <v>619.54999999999995</v>
      </c>
      <c r="L26" s="228">
        <v>622.97</v>
      </c>
      <c r="M26" s="82"/>
    </row>
    <row r="27" spans="2:17" x14ac:dyDescent="0.35">
      <c r="B27" s="9">
        <v>4</v>
      </c>
      <c r="C27" s="113"/>
      <c r="D27" s="162"/>
      <c r="E27" s="10"/>
      <c r="F27" s="10"/>
      <c r="G27" s="10"/>
      <c r="H27" s="10"/>
      <c r="I27" s="163"/>
      <c r="J27" s="9"/>
      <c r="K27" s="10"/>
      <c r="L27" s="8"/>
      <c r="M27" s="82"/>
    </row>
    <row r="28" spans="2:17" x14ac:dyDescent="0.35">
      <c r="B28" s="9">
        <v>5</v>
      </c>
      <c r="C28" s="21"/>
      <c r="D28" s="164"/>
      <c r="E28" s="10"/>
      <c r="F28" s="10"/>
      <c r="G28" s="10"/>
      <c r="H28" s="10"/>
      <c r="I28" s="163"/>
      <c r="J28" s="90"/>
      <c r="K28" s="91"/>
      <c r="L28" s="92"/>
      <c r="M28" s="223"/>
    </row>
    <row r="29" spans="2:17" ht="15" thickBot="1" x14ac:dyDescent="0.4">
      <c r="B29" s="9">
        <v>6</v>
      </c>
      <c r="C29" s="21"/>
      <c r="D29" s="164"/>
      <c r="E29" s="10"/>
      <c r="F29" s="10"/>
      <c r="G29" s="10"/>
      <c r="H29" s="10"/>
      <c r="I29" s="163"/>
      <c r="J29" s="9"/>
      <c r="K29" s="10"/>
      <c r="L29" s="8"/>
      <c r="M29" s="82"/>
    </row>
    <row r="30" spans="2:17" x14ac:dyDescent="0.35">
      <c r="B30" s="9">
        <v>7</v>
      </c>
      <c r="C30" s="21"/>
      <c r="D30" s="164"/>
      <c r="E30" s="10"/>
      <c r="F30" s="10"/>
      <c r="G30" s="10"/>
      <c r="H30" s="10"/>
      <c r="I30" s="163"/>
      <c r="J30" s="9"/>
      <c r="K30" s="10"/>
      <c r="L30" s="8"/>
      <c r="M30" s="82"/>
      <c r="O30" s="759" t="s">
        <v>159</v>
      </c>
      <c r="P30" s="760"/>
      <c r="Q30" s="761"/>
    </row>
    <row r="31" spans="2:17" ht="15" thickBot="1" x14ac:dyDescent="0.4">
      <c r="B31" s="9">
        <v>8</v>
      </c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>
        <v>9</v>
      </c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1">
        <f>(J24-J26)/(($C26-$C24))</f>
        <v>0.38100000000000006</v>
      </c>
      <c r="P32" s="361">
        <f>(K24-K26)/(($C26-$C24))</f>
        <v>5.5410000000000084</v>
      </c>
      <c r="Q32" s="361">
        <f>(L24-L26)/(($C26-$C24))</f>
        <v>5.9220000000000024</v>
      </c>
    </row>
    <row r="33" spans="2:17" x14ac:dyDescent="0.35">
      <c r="B33" s="9">
        <v>10</v>
      </c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59">
        <f>O32/J24</f>
        <v>5.2697095435684654E-2</v>
      </c>
      <c r="P33" s="359">
        <f>P32/K24</f>
        <v>8.209375370392331E-3</v>
      </c>
      <c r="Q33" s="359">
        <f>Q32/L24</f>
        <v>8.680866034389249E-3</v>
      </c>
    </row>
    <row r="34" spans="2:17" x14ac:dyDescent="0.35">
      <c r="B34" s="9">
        <v>11</v>
      </c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>
        <v>12</v>
      </c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>
        <v>13</v>
      </c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>
        <v>14</v>
      </c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>
        <v>15</v>
      </c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137" t="s">
        <v>128</v>
      </c>
    </row>
    <row r="41" spans="2:17" x14ac:dyDescent="0.35">
      <c r="C41" s="144" t="s">
        <v>16</v>
      </c>
      <c r="D41" s="145" t="s">
        <v>17</v>
      </c>
    </row>
    <row r="42" spans="2:17" x14ac:dyDescent="0.35">
      <c r="B42" s="27" t="s">
        <v>13</v>
      </c>
      <c r="C42" s="101">
        <f>J26-J24</f>
        <v>-3.8100000000000005</v>
      </c>
      <c r="D42" s="125">
        <f>(J24-J26)/J24</f>
        <v>0.52697095435684649</v>
      </c>
    </row>
    <row r="43" spans="2:17" x14ac:dyDescent="0.35">
      <c r="B43" s="28" t="s">
        <v>14</v>
      </c>
      <c r="C43" s="103">
        <f>K26-K24</f>
        <v>-55.410000000000082</v>
      </c>
      <c r="D43" s="127">
        <f>(K24-K26)/K24</f>
        <v>8.2093753703923314E-2</v>
      </c>
    </row>
    <row r="44" spans="2:17" x14ac:dyDescent="0.35">
      <c r="B44" s="29" t="s">
        <v>15</v>
      </c>
      <c r="C44" s="105">
        <f>L26-L24</f>
        <v>-59.220000000000027</v>
      </c>
      <c r="D44" s="129">
        <f>(L24-L26)/L24</f>
        <v>8.6808660343892494E-2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8">
    <tabColor rgb="FFFFFF00"/>
  </sheetPr>
  <dimension ref="B17:Q44"/>
  <sheetViews>
    <sheetView topLeftCell="A23" workbookViewId="0">
      <selection activeCell="C42" sqref="C42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66</v>
      </c>
      <c r="E17" s="137" t="s">
        <v>72</v>
      </c>
    </row>
    <row r="18" spans="2:17" ht="15.5" x14ac:dyDescent="0.35">
      <c r="B18" s="7" t="s">
        <v>7</v>
      </c>
      <c r="C18" s="3" t="s">
        <v>124</v>
      </c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88">
        <v>1</v>
      </c>
      <c r="C24" s="407">
        <v>2004</v>
      </c>
      <c r="D24" s="202"/>
      <c r="E24" s="203">
        <v>1</v>
      </c>
      <c r="F24" s="203">
        <v>1</v>
      </c>
      <c r="G24" s="203"/>
      <c r="H24" s="203"/>
      <c r="I24" s="204"/>
      <c r="J24" s="188">
        <v>0.7</v>
      </c>
      <c r="K24" s="417">
        <v>117.48</v>
      </c>
      <c r="L24" s="418">
        <v>118.18</v>
      </c>
      <c r="M24" s="82"/>
    </row>
    <row r="25" spans="2:17" x14ac:dyDescent="0.35">
      <c r="B25" s="183">
        <v>2</v>
      </c>
      <c r="C25" s="226">
        <v>2011</v>
      </c>
      <c r="D25" s="197"/>
      <c r="E25" s="186">
        <v>1</v>
      </c>
      <c r="F25" s="186"/>
      <c r="G25" s="186">
        <v>1</v>
      </c>
      <c r="H25" s="186"/>
      <c r="I25" s="204"/>
      <c r="J25" s="183">
        <v>0.65</v>
      </c>
      <c r="K25" s="186">
        <v>117.35</v>
      </c>
      <c r="L25" s="228">
        <v>118</v>
      </c>
      <c r="M25" s="82"/>
    </row>
    <row r="26" spans="2:17" x14ac:dyDescent="0.35">
      <c r="B26" s="183">
        <v>3</v>
      </c>
      <c r="C26" s="406">
        <v>2018</v>
      </c>
      <c r="D26" s="197"/>
      <c r="E26" s="186"/>
      <c r="F26" s="186"/>
      <c r="G26" s="186">
        <v>1</v>
      </c>
      <c r="H26" s="186">
        <v>1</v>
      </c>
      <c r="I26" s="187"/>
      <c r="J26" s="183">
        <v>0.61</v>
      </c>
      <c r="K26" s="186">
        <v>114.68</v>
      </c>
      <c r="L26" s="228">
        <v>115.29</v>
      </c>
      <c r="M26" s="82"/>
    </row>
    <row r="27" spans="2:17" x14ac:dyDescent="0.35">
      <c r="B27" s="9">
        <v>4</v>
      </c>
      <c r="C27" s="113"/>
      <c r="D27" s="162"/>
      <c r="E27" s="10"/>
      <c r="F27" s="10"/>
      <c r="G27" s="10"/>
      <c r="H27" s="10"/>
      <c r="I27" s="163"/>
      <c r="J27" s="9"/>
      <c r="K27" s="10"/>
      <c r="L27" s="8"/>
      <c r="M27" s="82"/>
    </row>
    <row r="28" spans="2:17" x14ac:dyDescent="0.35">
      <c r="B28" s="9">
        <v>5</v>
      </c>
      <c r="C28" s="21"/>
      <c r="D28" s="164"/>
      <c r="E28" s="10"/>
      <c r="F28" s="10"/>
      <c r="G28" s="10"/>
      <c r="H28" s="10"/>
      <c r="I28" s="163"/>
      <c r="J28" s="90"/>
      <c r="K28" s="91"/>
      <c r="L28" s="92"/>
      <c r="M28" s="223"/>
    </row>
    <row r="29" spans="2:17" ht="15" thickBot="1" x14ac:dyDescent="0.4">
      <c r="B29" s="9">
        <v>6</v>
      </c>
      <c r="C29" s="21"/>
      <c r="D29" s="164"/>
      <c r="E29" s="10"/>
      <c r="F29" s="10"/>
      <c r="G29" s="10"/>
      <c r="H29" s="10"/>
      <c r="I29" s="163"/>
      <c r="J29" s="9"/>
      <c r="K29" s="10"/>
      <c r="L29" s="8"/>
      <c r="M29" s="82"/>
    </row>
    <row r="30" spans="2:17" x14ac:dyDescent="0.35">
      <c r="B30" s="9">
        <v>7</v>
      </c>
      <c r="C30" s="21"/>
      <c r="D30" s="164"/>
      <c r="E30" s="10"/>
      <c r="F30" s="10"/>
      <c r="G30" s="10"/>
      <c r="H30" s="10"/>
      <c r="I30" s="163"/>
      <c r="J30" s="9"/>
      <c r="K30" s="10"/>
      <c r="L30" s="8"/>
      <c r="M30" s="82"/>
      <c r="O30" s="759" t="s">
        <v>159</v>
      </c>
      <c r="P30" s="760"/>
      <c r="Q30" s="761"/>
    </row>
    <row r="31" spans="2:17" ht="15" thickBot="1" x14ac:dyDescent="0.4">
      <c r="B31" s="9">
        <v>8</v>
      </c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>
        <v>9</v>
      </c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1">
        <f>(J24-J26)/(($C26-$C24))</f>
        <v>6.4285714285714267E-3</v>
      </c>
      <c r="P32" s="361">
        <f>(K24-K26)/(($C26-$C24))</f>
        <v>0.19999999999999979</v>
      </c>
      <c r="Q32" s="361">
        <f>(L24-L26)/(($C26-$C24))</f>
        <v>0.20642857142857146</v>
      </c>
    </row>
    <row r="33" spans="2:17" x14ac:dyDescent="0.35">
      <c r="B33" s="9">
        <v>10</v>
      </c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59">
        <f>O32/J24</f>
        <v>9.1836734693877525E-3</v>
      </c>
      <c r="P33" s="359">
        <f>P32/K24</f>
        <v>1.7024174327545097E-3</v>
      </c>
      <c r="Q33" s="359">
        <f>Q32/L24</f>
        <v>1.746730169475135E-3</v>
      </c>
    </row>
    <row r="34" spans="2:17" x14ac:dyDescent="0.35">
      <c r="B34" s="9">
        <v>11</v>
      </c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>
        <v>12</v>
      </c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>
        <v>13</v>
      </c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>
        <v>14</v>
      </c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>
        <v>15</v>
      </c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137" t="s">
        <v>128</v>
      </c>
    </row>
    <row r="41" spans="2:17" x14ac:dyDescent="0.35">
      <c r="C41" s="144" t="s">
        <v>16</v>
      </c>
      <c r="D41" s="145" t="s">
        <v>17</v>
      </c>
    </row>
    <row r="42" spans="2:17" x14ac:dyDescent="0.35">
      <c r="B42" s="27" t="s">
        <v>13</v>
      </c>
      <c r="C42" s="101">
        <f>J26-J24</f>
        <v>-8.9999999999999969E-2</v>
      </c>
      <c r="D42" s="125">
        <f>(J24-J26)/J24</f>
        <v>0.12857142857142853</v>
      </c>
    </row>
    <row r="43" spans="2:17" x14ac:dyDescent="0.35">
      <c r="B43" s="28" t="s">
        <v>14</v>
      </c>
      <c r="C43" s="103">
        <f>K26-K24</f>
        <v>-2.7999999999999972</v>
      </c>
      <c r="D43" s="127">
        <f>(K24-K26)/K24</f>
        <v>2.3833844058563133E-2</v>
      </c>
    </row>
    <row r="44" spans="2:17" x14ac:dyDescent="0.35">
      <c r="B44" s="29" t="s">
        <v>15</v>
      </c>
      <c r="C44" s="105">
        <f>L26-L24</f>
        <v>-2.8900000000000006</v>
      </c>
      <c r="D44" s="129">
        <f>(L24-L26)/L24</f>
        <v>2.445422237265189E-2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tabColor rgb="FFFFFF00"/>
  </sheetPr>
  <dimension ref="B17:Q44"/>
  <sheetViews>
    <sheetView workbookViewId="0"/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66</v>
      </c>
      <c r="E17" s="137" t="s">
        <v>72</v>
      </c>
    </row>
    <row r="18" spans="2:17" ht="15.5" x14ac:dyDescent="0.35">
      <c r="B18" s="7" t="s">
        <v>7</v>
      </c>
      <c r="C18" s="3" t="s">
        <v>125</v>
      </c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4"/>
      <c r="C24" s="108"/>
      <c r="D24" s="160"/>
      <c r="E24" s="31"/>
      <c r="F24" s="31"/>
      <c r="G24" s="31"/>
      <c r="H24" s="31"/>
      <c r="I24" s="161"/>
      <c r="J24" s="14"/>
      <c r="K24" s="15"/>
      <c r="L24" s="16"/>
      <c r="M24" s="82"/>
    </row>
    <row r="25" spans="2:17" x14ac:dyDescent="0.35">
      <c r="B25" s="183">
        <v>2</v>
      </c>
      <c r="C25" s="226">
        <v>2013</v>
      </c>
      <c r="D25" s="197"/>
      <c r="E25" s="186">
        <v>1</v>
      </c>
      <c r="F25" s="186"/>
      <c r="G25" s="186">
        <v>1</v>
      </c>
      <c r="H25" s="186"/>
      <c r="I25" s="204"/>
      <c r="J25" s="606">
        <v>18</v>
      </c>
      <c r="K25" s="607">
        <v>220.37</v>
      </c>
      <c r="L25" s="608">
        <v>248.88</v>
      </c>
      <c r="M25" s="82"/>
    </row>
    <row r="26" spans="2:17" x14ac:dyDescent="0.35">
      <c r="B26" s="183">
        <v>3</v>
      </c>
      <c r="C26" s="406">
        <v>2018</v>
      </c>
      <c r="D26" s="197"/>
      <c r="E26" s="186"/>
      <c r="F26" s="186"/>
      <c r="G26" s="186">
        <v>1</v>
      </c>
      <c r="H26" s="186">
        <v>1</v>
      </c>
      <c r="I26" s="187"/>
      <c r="J26" s="606">
        <v>17.07</v>
      </c>
      <c r="K26" s="607">
        <v>215.19</v>
      </c>
      <c r="L26" s="608">
        <v>242.39</v>
      </c>
      <c r="M26" s="82"/>
    </row>
    <row r="27" spans="2:17" x14ac:dyDescent="0.35">
      <c r="B27" s="9">
        <v>4</v>
      </c>
      <c r="C27" s="113"/>
      <c r="D27" s="162"/>
      <c r="E27" s="10"/>
      <c r="F27" s="10"/>
      <c r="G27" s="10"/>
      <c r="H27" s="10"/>
      <c r="I27" s="163"/>
      <c r="J27" s="9"/>
      <c r="K27" s="10"/>
      <c r="L27" s="8"/>
      <c r="M27" s="82"/>
    </row>
    <row r="28" spans="2:17" x14ac:dyDescent="0.35">
      <c r="B28" s="9">
        <v>5</v>
      </c>
      <c r="C28" s="21"/>
      <c r="D28" s="164"/>
      <c r="E28" s="10"/>
      <c r="F28" s="10"/>
      <c r="G28" s="10"/>
      <c r="H28" s="10"/>
      <c r="I28" s="163"/>
      <c r="J28" s="90"/>
      <c r="K28" s="91"/>
      <c r="L28" s="92"/>
      <c r="M28" s="223"/>
    </row>
    <row r="29" spans="2:17" ht="15" thickBot="1" x14ac:dyDescent="0.4">
      <c r="B29" s="9">
        <v>6</v>
      </c>
      <c r="C29" s="21"/>
      <c r="D29" s="164"/>
      <c r="E29" s="10"/>
      <c r="F29" s="10"/>
      <c r="G29" s="10"/>
      <c r="H29" s="10"/>
      <c r="I29" s="163"/>
      <c r="J29" s="9"/>
      <c r="K29" s="10"/>
      <c r="L29" s="8"/>
      <c r="M29" s="82"/>
    </row>
    <row r="30" spans="2:17" x14ac:dyDescent="0.35">
      <c r="B30" s="9">
        <v>7</v>
      </c>
      <c r="C30" s="21"/>
      <c r="D30" s="164"/>
      <c r="E30" s="10"/>
      <c r="F30" s="10"/>
      <c r="G30" s="10"/>
      <c r="H30" s="10"/>
      <c r="I30" s="163"/>
      <c r="J30" s="9"/>
      <c r="K30" s="10"/>
      <c r="L30" s="8"/>
      <c r="M30" s="82"/>
      <c r="O30" s="759" t="s">
        <v>159</v>
      </c>
      <c r="P30" s="760"/>
      <c r="Q30" s="761"/>
    </row>
    <row r="31" spans="2:17" ht="15" thickBot="1" x14ac:dyDescent="0.4">
      <c r="B31" s="9">
        <v>8</v>
      </c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>
        <v>9</v>
      </c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1">
        <f>(J25-J26)/(($C26-$C25))</f>
        <v>0.18599999999999994</v>
      </c>
      <c r="P32" s="361">
        <f>(K25-K26)/(($C26-$C25))</f>
        <v>1.0360000000000014</v>
      </c>
      <c r="Q32" s="361">
        <f>(L25-L26)/(($C26-$C25))</f>
        <v>1.2980000000000018</v>
      </c>
    </row>
    <row r="33" spans="2:17" x14ac:dyDescent="0.35">
      <c r="B33" s="9">
        <v>10</v>
      </c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59">
        <f>O32/J25</f>
        <v>1.033333333333333E-2</v>
      </c>
      <c r="P33" s="359">
        <f>P32/K25</f>
        <v>4.7011843717384462E-3</v>
      </c>
      <c r="Q33" s="359">
        <f>Q32/L25</f>
        <v>5.215364834458381E-3</v>
      </c>
    </row>
    <row r="34" spans="2:17" x14ac:dyDescent="0.35">
      <c r="B34" s="9">
        <v>11</v>
      </c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>
        <v>12</v>
      </c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>
        <v>13</v>
      </c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>
        <v>14</v>
      </c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>
        <v>15</v>
      </c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137" t="s">
        <v>128</v>
      </c>
    </row>
    <row r="41" spans="2:17" x14ac:dyDescent="0.35">
      <c r="C41" s="144" t="s">
        <v>16</v>
      </c>
      <c r="D41" s="145" t="s">
        <v>17</v>
      </c>
    </row>
    <row r="42" spans="2:17" x14ac:dyDescent="0.35">
      <c r="B42" s="27" t="s">
        <v>13</v>
      </c>
      <c r="C42" s="101">
        <f>J26-J25</f>
        <v>-0.92999999999999972</v>
      </c>
      <c r="D42" s="125">
        <f>(J25-J26)/J25</f>
        <v>5.1666666666666652E-2</v>
      </c>
    </row>
    <row r="43" spans="2:17" x14ac:dyDescent="0.35">
      <c r="B43" s="28" t="s">
        <v>14</v>
      </c>
      <c r="C43" s="103">
        <f>K26-K25</f>
        <v>-5.1800000000000068</v>
      </c>
      <c r="D43" s="127">
        <f>(K25-K26)/K25</f>
        <v>2.3505921858692231E-2</v>
      </c>
    </row>
    <row r="44" spans="2:17" x14ac:dyDescent="0.35">
      <c r="B44" s="29" t="s">
        <v>15</v>
      </c>
      <c r="C44" s="105">
        <f>L26-L25</f>
        <v>-6.4900000000000091</v>
      </c>
      <c r="D44" s="129">
        <f>(L25-L26)/L25</f>
        <v>2.6076824172291905E-2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0">
    <tabColor rgb="FFFFFF00"/>
  </sheetPr>
  <dimension ref="B17:Q44"/>
  <sheetViews>
    <sheetView workbookViewId="0"/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66</v>
      </c>
      <c r="E17" s="137" t="s">
        <v>72</v>
      </c>
    </row>
    <row r="18" spans="2:17" ht="15.5" x14ac:dyDescent="0.35">
      <c r="B18" s="7" t="s">
        <v>7</v>
      </c>
      <c r="C18" s="3" t="s">
        <v>126</v>
      </c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88">
        <v>1</v>
      </c>
      <c r="C24" s="407">
        <v>2002</v>
      </c>
      <c r="D24" s="202"/>
      <c r="E24" s="203">
        <v>1</v>
      </c>
      <c r="F24" s="203">
        <v>1</v>
      </c>
      <c r="G24" s="203"/>
      <c r="H24" s="203"/>
      <c r="I24" s="204"/>
      <c r="J24" s="188">
        <v>0</v>
      </c>
      <c r="K24" s="417">
        <v>13.97</v>
      </c>
      <c r="L24" s="418">
        <v>29.74</v>
      </c>
      <c r="M24" s="82"/>
    </row>
    <row r="25" spans="2:17" x14ac:dyDescent="0.35">
      <c r="B25" s="183">
        <v>2</v>
      </c>
      <c r="C25" s="226">
        <v>2009</v>
      </c>
      <c r="D25" s="197"/>
      <c r="E25" s="186">
        <v>1</v>
      </c>
      <c r="F25" s="186">
        <v>1</v>
      </c>
      <c r="G25" s="186"/>
      <c r="H25" s="186"/>
      <c r="I25" s="204"/>
      <c r="J25" s="183">
        <v>0</v>
      </c>
      <c r="K25" s="186">
        <v>12.18</v>
      </c>
      <c r="L25" s="228">
        <v>25.88</v>
      </c>
      <c r="M25" s="82"/>
    </row>
    <row r="26" spans="2:17" x14ac:dyDescent="0.35">
      <c r="B26" s="183">
        <v>3</v>
      </c>
      <c r="C26" s="406">
        <v>2016</v>
      </c>
      <c r="D26" s="197"/>
      <c r="E26" s="186"/>
      <c r="F26" s="186"/>
      <c r="G26" s="186">
        <v>1</v>
      </c>
      <c r="H26" s="186">
        <v>1</v>
      </c>
      <c r="I26" s="187"/>
      <c r="J26" s="183">
        <v>0</v>
      </c>
      <c r="K26" s="186">
        <v>12.64</v>
      </c>
      <c r="L26" s="228">
        <v>25.8</v>
      </c>
      <c r="M26" s="82"/>
    </row>
    <row r="27" spans="2:17" x14ac:dyDescent="0.35">
      <c r="B27" s="9">
        <v>4</v>
      </c>
      <c r="C27" s="113"/>
      <c r="D27" s="162"/>
      <c r="E27" s="10"/>
      <c r="F27" s="10"/>
      <c r="G27" s="10"/>
      <c r="H27" s="10"/>
      <c r="I27" s="163"/>
      <c r="J27" s="9"/>
      <c r="K27" s="10"/>
      <c r="L27" s="8"/>
      <c r="M27" s="82"/>
    </row>
    <row r="28" spans="2:17" x14ac:dyDescent="0.35">
      <c r="B28" s="9">
        <v>5</v>
      </c>
      <c r="C28" s="21"/>
      <c r="D28" s="164"/>
      <c r="E28" s="10"/>
      <c r="F28" s="10"/>
      <c r="G28" s="10"/>
      <c r="H28" s="10"/>
      <c r="I28" s="163"/>
      <c r="J28" s="90"/>
      <c r="K28" s="91"/>
      <c r="L28" s="92"/>
      <c r="M28" s="223"/>
    </row>
    <row r="29" spans="2:17" ht="15" thickBot="1" x14ac:dyDescent="0.4">
      <c r="B29" s="9">
        <v>6</v>
      </c>
      <c r="C29" s="21"/>
      <c r="D29" s="164"/>
      <c r="E29" s="10"/>
      <c r="F29" s="10"/>
      <c r="G29" s="10"/>
      <c r="H29" s="10"/>
      <c r="I29" s="163"/>
      <c r="J29" s="9"/>
      <c r="K29" s="10"/>
      <c r="L29" s="8"/>
      <c r="M29" s="82"/>
    </row>
    <row r="30" spans="2:17" x14ac:dyDescent="0.35">
      <c r="B30" s="9">
        <v>7</v>
      </c>
      <c r="C30" s="21"/>
      <c r="D30" s="164"/>
      <c r="E30" s="10"/>
      <c r="F30" s="10"/>
      <c r="G30" s="10"/>
      <c r="H30" s="10"/>
      <c r="I30" s="163"/>
      <c r="J30" s="9"/>
      <c r="K30" s="10"/>
      <c r="L30" s="8"/>
      <c r="M30" s="82"/>
      <c r="O30" s="759" t="s">
        <v>159</v>
      </c>
      <c r="P30" s="760"/>
      <c r="Q30" s="761"/>
    </row>
    <row r="31" spans="2:17" ht="15" thickBot="1" x14ac:dyDescent="0.4">
      <c r="B31" s="9">
        <v>8</v>
      </c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9">
        <v>9</v>
      </c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361">
        <f>(J24-J26)/(($C26-$C24))</f>
        <v>0</v>
      </c>
      <c r="P32" s="361">
        <f>(K24-K26)/(($C26-$C24))</f>
        <v>9.5000000000000001E-2</v>
      </c>
      <c r="Q32" s="361">
        <f>(L24-L26)/(($C26-$C24))</f>
        <v>0.28142857142857125</v>
      </c>
    </row>
    <row r="33" spans="2:17" x14ac:dyDescent="0.35">
      <c r="B33" s="9">
        <v>10</v>
      </c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359">
        <v>0</v>
      </c>
      <c r="P33" s="359">
        <f>P32/K24</f>
        <v>6.8002863278453828E-3</v>
      </c>
      <c r="Q33" s="359">
        <f>Q32/L24</f>
        <v>9.4629647420501426E-3</v>
      </c>
    </row>
    <row r="34" spans="2:17" x14ac:dyDescent="0.35">
      <c r="B34" s="9">
        <v>11</v>
      </c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>
        <v>12</v>
      </c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>
        <v>13</v>
      </c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>
        <v>14</v>
      </c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>
        <v>15</v>
      </c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137" t="s">
        <v>128</v>
      </c>
    </row>
    <row r="41" spans="2:17" x14ac:dyDescent="0.35">
      <c r="C41" s="144" t="s">
        <v>16</v>
      </c>
      <c r="D41" s="145" t="s">
        <v>17</v>
      </c>
    </row>
    <row r="42" spans="2:17" x14ac:dyDescent="0.35">
      <c r="B42" s="27" t="s">
        <v>13</v>
      </c>
      <c r="C42" s="101">
        <f>J26-J24</f>
        <v>0</v>
      </c>
      <c r="D42" s="125" t="e">
        <f>(J24-J26)/J24</f>
        <v>#DIV/0!</v>
      </c>
    </row>
    <row r="43" spans="2:17" x14ac:dyDescent="0.35">
      <c r="B43" s="28" t="s">
        <v>14</v>
      </c>
      <c r="C43" s="103">
        <f>K26-K24</f>
        <v>-1.33</v>
      </c>
      <c r="D43" s="127">
        <f>(K24-K26)/K24</f>
        <v>9.5204008589835368E-2</v>
      </c>
    </row>
    <row r="44" spans="2:17" x14ac:dyDescent="0.35">
      <c r="B44" s="29" t="s">
        <v>15</v>
      </c>
      <c r="C44" s="105">
        <f>L26-L24</f>
        <v>-3.9399999999999977</v>
      </c>
      <c r="D44" s="129">
        <f>(L24-L26)/L24</f>
        <v>0.13248150638870201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1">
    <tabColor rgb="FFFF0000"/>
  </sheetPr>
  <dimension ref="B17:S40"/>
  <sheetViews>
    <sheetView topLeftCell="B19" zoomScaleNormal="100" workbookViewId="0">
      <selection activeCell="O32" sqref="O32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19" ht="15.5" x14ac:dyDescent="0.35">
      <c r="B17" s="6" t="s">
        <v>6</v>
      </c>
      <c r="C17" s="2" t="s">
        <v>46</v>
      </c>
      <c r="E17" s="1" t="s">
        <v>72</v>
      </c>
    </row>
    <row r="18" spans="2:19" ht="15.5" x14ac:dyDescent="0.35">
      <c r="B18" s="7" t="s">
        <v>7</v>
      </c>
      <c r="C18" s="3" t="s">
        <v>47</v>
      </c>
    </row>
    <row r="19" spans="2:19" ht="15" thickBot="1" x14ac:dyDescent="0.4">
      <c r="B19" s="4"/>
      <c r="C19" s="4"/>
    </row>
    <row r="20" spans="2:19" s="5" customFormat="1" ht="21.5" thickBot="1" x14ac:dyDescent="0.4">
      <c r="B20" s="762" t="s">
        <v>50</v>
      </c>
      <c r="C20" s="763"/>
      <c r="D20" s="763"/>
      <c r="E20" s="763"/>
      <c r="F20" s="763"/>
      <c r="G20" s="763"/>
      <c r="H20" s="763"/>
      <c r="I20" s="763"/>
      <c r="J20" s="763"/>
      <c r="K20" s="763"/>
      <c r="L20" s="764"/>
      <c r="M20" s="352"/>
    </row>
    <row r="21" spans="2:19" s="137" customFormat="1" x14ac:dyDescent="0.35">
      <c r="B21" s="772" t="s">
        <v>134</v>
      </c>
      <c r="C21" s="773" t="s">
        <v>51</v>
      </c>
      <c r="D21" s="772" t="s">
        <v>52</v>
      </c>
      <c r="E21" s="770"/>
      <c r="F21" s="770"/>
      <c r="G21" s="770"/>
      <c r="H21" s="770"/>
      <c r="I21" s="773"/>
      <c r="J21" s="772" t="s">
        <v>12</v>
      </c>
      <c r="K21" s="770"/>
      <c r="L21" s="773"/>
      <c r="M21" s="353"/>
    </row>
    <row r="22" spans="2:19" s="137" customFormat="1" ht="44" thickBot="1" x14ac:dyDescent="0.4">
      <c r="B22" s="774"/>
      <c r="C22" s="775"/>
      <c r="D22" s="147" t="s">
        <v>8</v>
      </c>
      <c r="E22" s="30" t="s">
        <v>54</v>
      </c>
      <c r="F22" s="30" t="s">
        <v>3</v>
      </c>
      <c r="G22" s="30" t="s">
        <v>4</v>
      </c>
      <c r="H22" s="30" t="s">
        <v>5</v>
      </c>
      <c r="I22" s="81" t="s">
        <v>9</v>
      </c>
      <c r="J22" s="147" t="s">
        <v>13</v>
      </c>
      <c r="K22" s="30" t="s">
        <v>55</v>
      </c>
      <c r="L22" s="148" t="s">
        <v>15</v>
      </c>
      <c r="M22" s="353"/>
    </row>
    <row r="23" spans="2:19" s="137" customFormat="1" x14ac:dyDescent="0.35">
      <c r="B23" s="188">
        <v>1</v>
      </c>
      <c r="C23" s="201">
        <v>36526</v>
      </c>
      <c r="D23" s="225">
        <v>1</v>
      </c>
      <c r="E23" s="417"/>
      <c r="F23" s="417"/>
      <c r="G23" s="417"/>
      <c r="H23" s="417"/>
      <c r="I23" s="419"/>
      <c r="J23" s="420">
        <v>107.5</v>
      </c>
      <c r="K23" s="203">
        <v>1212</v>
      </c>
      <c r="L23" s="421">
        <v>1740</v>
      </c>
      <c r="M23" s="138"/>
    </row>
    <row r="24" spans="2:19" s="137" customFormat="1" x14ac:dyDescent="0.35">
      <c r="B24" s="183">
        <v>2</v>
      </c>
      <c r="C24" s="201">
        <v>38718</v>
      </c>
      <c r="D24" s="206"/>
      <c r="E24" s="225">
        <v>1</v>
      </c>
      <c r="F24" s="225">
        <v>1</v>
      </c>
      <c r="G24" s="225"/>
      <c r="H24" s="225"/>
      <c r="I24" s="208"/>
      <c r="J24" s="422">
        <v>40.909999999999997</v>
      </c>
      <c r="K24" s="186">
        <v>1463.66</v>
      </c>
      <c r="L24" s="423">
        <v>1863.54</v>
      </c>
      <c r="M24" s="138"/>
      <c r="N24" s="142" t="s">
        <v>118</v>
      </c>
      <c r="O24" s="317"/>
      <c r="P24" s="317"/>
      <c r="Q24" s="317"/>
      <c r="R24" s="317"/>
      <c r="S24" s="318"/>
    </row>
    <row r="25" spans="2:19" s="137" customFormat="1" x14ac:dyDescent="0.35">
      <c r="B25" s="424">
        <v>3</v>
      </c>
      <c r="C25" s="425">
        <v>40909</v>
      </c>
      <c r="D25" s="426"/>
      <c r="E25" s="225">
        <v>1</v>
      </c>
      <c r="F25" s="427">
        <v>1</v>
      </c>
      <c r="G25" s="427"/>
      <c r="H25" s="427"/>
      <c r="I25" s="428"/>
      <c r="J25" s="429">
        <v>30.07</v>
      </c>
      <c r="K25" s="430">
        <v>1233.6199999999999</v>
      </c>
      <c r="L25" s="431">
        <v>1600.44</v>
      </c>
      <c r="M25" s="138"/>
      <c r="N25" s="142" t="s">
        <v>118</v>
      </c>
      <c r="O25" s="318"/>
      <c r="P25" s="318"/>
      <c r="Q25" s="318"/>
      <c r="R25" s="318"/>
      <c r="S25" s="318"/>
    </row>
    <row r="26" spans="2:19" s="137" customFormat="1" ht="15" thickBot="1" x14ac:dyDescent="0.4">
      <c r="B26" s="432">
        <v>4</v>
      </c>
      <c r="C26" s="425">
        <v>42370</v>
      </c>
      <c r="D26" s="433"/>
      <c r="E26" s="434"/>
      <c r="F26" s="434" t="s">
        <v>117</v>
      </c>
      <c r="G26" s="434">
        <v>1</v>
      </c>
      <c r="H26" s="434">
        <v>1</v>
      </c>
      <c r="I26" s="435"/>
      <c r="J26" s="436">
        <v>50.79</v>
      </c>
      <c r="K26" s="437">
        <v>1288.7</v>
      </c>
      <c r="L26" s="438">
        <v>1644.91</v>
      </c>
      <c r="M26" s="138"/>
      <c r="N26" s="142" t="s">
        <v>119</v>
      </c>
      <c r="O26" s="318"/>
      <c r="P26" s="318"/>
      <c r="Q26" s="318"/>
      <c r="R26" s="318"/>
      <c r="S26" s="318"/>
    </row>
    <row r="27" spans="2:19" x14ac:dyDescent="0.35">
      <c r="B27" s="157" t="s">
        <v>127</v>
      </c>
      <c r="C27" s="157"/>
      <c r="D27" s="168"/>
      <c r="E27" s="168"/>
      <c r="F27" s="168"/>
      <c r="G27" s="168"/>
      <c r="H27" s="168"/>
      <c r="I27" s="168"/>
      <c r="J27" s="157"/>
      <c r="K27" s="157"/>
      <c r="L27" s="157"/>
      <c r="M27" s="354"/>
    </row>
    <row r="28" spans="2:19" x14ac:dyDescent="0.35">
      <c r="B28" s="123"/>
      <c r="C28" s="123"/>
      <c r="D28" s="169"/>
      <c r="E28" s="169"/>
      <c r="F28" s="169"/>
      <c r="G28" s="169"/>
      <c r="H28" s="169"/>
      <c r="I28" s="169"/>
      <c r="J28" s="123"/>
      <c r="K28" s="123"/>
      <c r="L28" s="123"/>
      <c r="M28" s="354"/>
    </row>
    <row r="29" spans="2:19" ht="16" thickBot="1" x14ac:dyDescent="0.4">
      <c r="B29" s="26" t="s">
        <v>18</v>
      </c>
      <c r="D29" s="170"/>
      <c r="E29" s="170"/>
      <c r="F29" s="170"/>
      <c r="G29" s="170"/>
      <c r="H29" s="170"/>
      <c r="I29" s="170"/>
    </row>
    <row r="30" spans="2:19" ht="15" thickBot="1" x14ac:dyDescent="0.4">
      <c r="C30" s="99" t="s">
        <v>16</v>
      </c>
      <c r="D30" s="171" t="s">
        <v>17</v>
      </c>
      <c r="E30" s="170"/>
      <c r="F30" s="170"/>
      <c r="G30" s="170"/>
      <c r="H30" s="170"/>
      <c r="I30" s="170"/>
      <c r="O30" s="759" t="s">
        <v>159</v>
      </c>
      <c r="P30" s="760"/>
      <c r="Q30" s="761"/>
    </row>
    <row r="31" spans="2:19" ht="15" thickBot="1" x14ac:dyDescent="0.4">
      <c r="B31" s="27" t="s">
        <v>13</v>
      </c>
      <c r="C31" s="124">
        <f>+J26-J24</f>
        <v>9.8800000000000026</v>
      </c>
      <c r="D31" s="125">
        <f>+(J24-J26)/J24</f>
        <v>-0.24150574431679303</v>
      </c>
      <c r="E31" s="170"/>
      <c r="F31" s="170"/>
      <c r="G31" s="170"/>
      <c r="H31" s="170"/>
      <c r="I31" s="170"/>
      <c r="O31" s="346" t="s">
        <v>13</v>
      </c>
      <c r="P31" s="347" t="s">
        <v>14</v>
      </c>
      <c r="Q31" s="348" t="s">
        <v>15</v>
      </c>
    </row>
    <row r="32" spans="2:19" x14ac:dyDescent="0.35">
      <c r="B32" s="28" t="s">
        <v>14</v>
      </c>
      <c r="C32" s="126">
        <f>+K26-K24</f>
        <v>-174.96000000000004</v>
      </c>
      <c r="D32" s="127">
        <f>+(K24-K26)/K24</f>
        <v>0.11953595780440815</v>
      </c>
      <c r="E32" s="170"/>
      <c r="F32" s="170"/>
      <c r="G32" s="170"/>
      <c r="H32" s="170"/>
      <c r="I32" s="170"/>
      <c r="N32" t="s">
        <v>160</v>
      </c>
      <c r="O32" s="361">
        <f>(J24-J26)/(($C26-$C24))</f>
        <v>-2.7053669222343929E-3</v>
      </c>
      <c r="P32" s="361">
        <f>(K24-K26)/(($C26-$C24))</f>
        <v>4.7907995618839003E-2</v>
      </c>
      <c r="Q32" s="361">
        <f>(L24-L26)/(($C26-$C24))</f>
        <v>5.9865826944140166E-2</v>
      </c>
    </row>
    <row r="33" spans="2:17" ht="15" thickBot="1" x14ac:dyDescent="0.4">
      <c r="B33" s="29" t="s">
        <v>15</v>
      </c>
      <c r="C33" s="128">
        <f>+L26-L24</f>
        <v>-218.62999999999988</v>
      </c>
      <c r="D33" s="129">
        <f>+(L24-L26)/L24</f>
        <v>0.11731972482479576</v>
      </c>
      <c r="E33" s="170"/>
      <c r="F33" s="170"/>
      <c r="G33" s="170"/>
      <c r="H33" s="170"/>
      <c r="I33" s="170"/>
      <c r="N33" t="s">
        <v>161</v>
      </c>
      <c r="O33" s="359">
        <f>O32/J24</f>
        <v>-6.6129721883021096E-5</v>
      </c>
      <c r="P33" s="359">
        <f>P32/K24</f>
        <v>3.2731642334175286E-5</v>
      </c>
      <c r="Q33" s="359">
        <f>Q32/L24</f>
        <v>3.2124787739538814E-5</v>
      </c>
    </row>
    <row r="34" spans="2:17" x14ac:dyDescent="0.35">
      <c r="D34" s="170"/>
      <c r="E34" s="170"/>
      <c r="F34" s="170"/>
      <c r="G34" s="170"/>
      <c r="H34" s="170"/>
      <c r="I34" s="170"/>
    </row>
    <row r="35" spans="2:17" x14ac:dyDescent="0.35">
      <c r="D35" s="170"/>
      <c r="E35" s="170"/>
      <c r="F35" s="170"/>
      <c r="G35" s="170"/>
      <c r="H35" s="170"/>
      <c r="I35" s="170"/>
    </row>
    <row r="36" spans="2:17" x14ac:dyDescent="0.35">
      <c r="D36" s="170"/>
      <c r="E36" s="170"/>
      <c r="F36" s="170"/>
      <c r="G36" s="170"/>
      <c r="H36" s="170"/>
      <c r="I36" s="170"/>
    </row>
    <row r="37" spans="2:17" x14ac:dyDescent="0.35">
      <c r="D37" s="170"/>
      <c r="E37" s="170"/>
      <c r="F37" s="170"/>
      <c r="G37" s="170"/>
      <c r="H37" s="170"/>
      <c r="I37" s="170"/>
    </row>
    <row r="38" spans="2:17" x14ac:dyDescent="0.35">
      <c r="D38" s="170"/>
      <c r="E38" s="170"/>
      <c r="F38" s="170"/>
      <c r="G38" s="170"/>
      <c r="H38" s="170"/>
      <c r="I38" s="170"/>
    </row>
    <row r="40" spans="2:17" x14ac:dyDescent="0.35">
      <c r="F40" s="193"/>
      <c r="G40" s="35" t="s">
        <v>128</v>
      </c>
    </row>
  </sheetData>
  <mergeCells count="6">
    <mergeCell ref="O30:Q30"/>
    <mergeCell ref="B20:L20"/>
    <mergeCell ref="B21:B22"/>
    <mergeCell ref="C21:C22"/>
    <mergeCell ref="D21:I21"/>
    <mergeCell ref="J21:L2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2">
    <tabColor theme="2" tint="-0.249977111117893"/>
  </sheetPr>
  <dimension ref="B17:Q46"/>
  <sheetViews>
    <sheetView topLeftCell="A23" zoomScale="85" zoomScaleNormal="85" workbookViewId="0">
      <selection activeCell="Q46" sqref="Q46"/>
    </sheetView>
  </sheetViews>
  <sheetFormatPr baseColWidth="10" defaultRowHeight="14.5" x14ac:dyDescent="0.35"/>
  <cols>
    <col min="13" max="13" width="7.72656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63</v>
      </c>
      <c r="E17" s="1" t="s">
        <v>72</v>
      </c>
    </row>
    <row r="18" spans="2:17" ht="15.5" x14ac:dyDescent="0.35">
      <c r="B18" s="7" t="s">
        <v>7</v>
      </c>
      <c r="C18" s="3" t="s">
        <v>64</v>
      </c>
    </row>
    <row r="19" spans="2:17" x14ac:dyDescent="0.35">
      <c r="B19" s="4" t="s">
        <v>36</v>
      </c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229">
        <v>1</v>
      </c>
      <c r="C24" s="230">
        <v>1975</v>
      </c>
      <c r="D24" s="160">
        <v>1</v>
      </c>
      <c r="E24" s="31"/>
      <c r="F24" s="31"/>
      <c r="G24" s="31"/>
      <c r="H24" s="31"/>
      <c r="I24" s="161"/>
      <c r="J24" s="84">
        <v>90</v>
      </c>
      <c r="K24" s="85">
        <v>668</v>
      </c>
      <c r="L24" s="86">
        <v>758</v>
      </c>
      <c r="M24" s="223"/>
    </row>
    <row r="25" spans="2:17" x14ac:dyDescent="0.35">
      <c r="B25" s="9"/>
      <c r="C25" s="118"/>
      <c r="D25" s="162"/>
      <c r="E25" s="10"/>
      <c r="F25" s="10"/>
      <c r="G25" s="10"/>
      <c r="H25" s="10"/>
      <c r="I25" s="167"/>
      <c r="J25" s="90"/>
      <c r="K25" s="91"/>
      <c r="L25" s="92"/>
      <c r="M25" s="223"/>
    </row>
    <row r="26" spans="2:17" x14ac:dyDescent="0.35">
      <c r="B26" s="9"/>
      <c r="C26" s="118"/>
      <c r="D26" s="162"/>
      <c r="E26" s="10"/>
      <c r="F26" s="10"/>
      <c r="G26" s="10"/>
      <c r="H26" s="10"/>
      <c r="I26" s="163"/>
      <c r="J26" s="90"/>
      <c r="K26" s="91"/>
      <c r="L26" s="92"/>
      <c r="M26" s="223"/>
      <c r="O26" s="159"/>
    </row>
    <row r="27" spans="2:17" x14ac:dyDescent="0.35">
      <c r="B27" s="9"/>
      <c r="C27" s="118"/>
      <c r="D27" s="162"/>
      <c r="E27" s="10"/>
      <c r="F27" s="10"/>
      <c r="G27" s="10"/>
      <c r="H27" s="10"/>
      <c r="I27" s="163"/>
      <c r="J27" s="90"/>
      <c r="K27" s="91"/>
      <c r="L27" s="92"/>
      <c r="M27" s="223"/>
    </row>
    <row r="28" spans="2:17" x14ac:dyDescent="0.35">
      <c r="B28" s="9"/>
      <c r="C28" s="118"/>
      <c r="D28" s="164"/>
      <c r="E28" s="10"/>
      <c r="F28" s="10"/>
      <c r="G28" s="10"/>
      <c r="H28" s="10"/>
      <c r="I28" s="163"/>
      <c r="J28" s="9"/>
      <c r="K28" s="91"/>
      <c r="L28" s="92"/>
      <c r="M28" s="223"/>
      <c r="O28" s="159"/>
      <c r="P28" s="159"/>
    </row>
    <row r="29" spans="2:17" ht="15" thickBot="1" x14ac:dyDescent="0.4">
      <c r="B29" s="9"/>
      <c r="C29" s="118"/>
      <c r="D29" s="164"/>
      <c r="E29" s="10"/>
      <c r="F29" s="10"/>
      <c r="G29" s="10"/>
      <c r="H29" s="10"/>
      <c r="I29" s="163"/>
      <c r="J29" s="158"/>
      <c r="K29" s="91"/>
      <c r="L29" s="8"/>
      <c r="M29" s="82"/>
    </row>
    <row r="30" spans="2:17" x14ac:dyDescent="0.35">
      <c r="B30" s="9"/>
      <c r="C30" s="118"/>
      <c r="D30" s="164"/>
      <c r="E30" s="10"/>
      <c r="F30" s="10"/>
      <c r="G30" s="10"/>
      <c r="H30" s="10"/>
      <c r="I30" s="163"/>
      <c r="J30" s="9"/>
      <c r="K30" s="91"/>
      <c r="L30" s="8"/>
      <c r="M30" s="82"/>
      <c r="O30" s="759" t="s">
        <v>159</v>
      </c>
      <c r="P30" s="760"/>
      <c r="Q30" s="761"/>
    </row>
    <row r="31" spans="2:17" ht="15" thickBot="1" x14ac:dyDescent="0.4">
      <c r="B31" s="183"/>
      <c r="C31" s="226">
        <v>1997</v>
      </c>
      <c r="D31" s="197"/>
      <c r="E31" s="186"/>
      <c r="F31" s="186">
        <v>1</v>
      </c>
      <c r="G31" s="186"/>
      <c r="H31" s="186"/>
      <c r="I31" s="187"/>
      <c r="J31" s="198">
        <v>36.49</v>
      </c>
      <c r="K31" s="199">
        <v>593.42999999999995</v>
      </c>
      <c r="L31" s="200">
        <f>650.6</f>
        <v>650.6</v>
      </c>
      <c r="M31" s="138"/>
      <c r="O31" s="346" t="s">
        <v>13</v>
      </c>
      <c r="P31" s="347" t="s">
        <v>14</v>
      </c>
      <c r="Q31" s="348" t="s">
        <v>15</v>
      </c>
    </row>
    <row r="32" spans="2:17" x14ac:dyDescent="0.35">
      <c r="B32" s="9"/>
      <c r="C32" s="118"/>
      <c r="D32" s="162"/>
      <c r="E32" s="10"/>
      <c r="F32" s="10"/>
      <c r="G32" s="10"/>
      <c r="H32" s="10"/>
      <c r="I32" s="163"/>
      <c r="J32" s="90"/>
      <c r="K32" s="91"/>
      <c r="L32" s="92"/>
      <c r="M32" s="138"/>
      <c r="N32" t="s">
        <v>160</v>
      </c>
      <c r="O32" s="360">
        <f>(J31-J38)/(($C38-$C31))</f>
        <v>1.2218181818181819</v>
      </c>
      <c r="P32" s="360">
        <f>(K31-K38)/(($C38-$C31))</f>
        <v>0.47772727272727233</v>
      </c>
      <c r="Q32" s="360">
        <f>(L31-L38)/(($C38-$C31))</f>
        <v>1.6981818181818189</v>
      </c>
    </row>
    <row r="33" spans="2:17" x14ac:dyDescent="0.35">
      <c r="B33" s="183"/>
      <c r="C33" s="226">
        <v>2004</v>
      </c>
      <c r="D33" s="197"/>
      <c r="E33" s="186"/>
      <c r="F33" s="186">
        <v>1</v>
      </c>
      <c r="G33" s="186"/>
      <c r="H33" s="186"/>
      <c r="I33" s="187"/>
      <c r="J33" s="198">
        <v>29.44</v>
      </c>
      <c r="K33" s="199">
        <v>582.34</v>
      </c>
      <c r="L33" s="200">
        <v>637.82000000000005</v>
      </c>
      <c r="M33" s="138"/>
      <c r="N33" t="s">
        <v>161</v>
      </c>
      <c r="O33" s="359">
        <f>O32/J31</f>
        <v>3.3483644335932636E-2</v>
      </c>
      <c r="P33" s="359">
        <f>P32/K31</f>
        <v>8.0502716870948956E-4</v>
      </c>
      <c r="Q33" s="359">
        <f>Q32/L31</f>
        <v>2.6101780174943418E-3</v>
      </c>
    </row>
    <row r="34" spans="2:17" x14ac:dyDescent="0.35">
      <c r="B34" s="9"/>
      <c r="C34" s="118"/>
      <c r="D34" s="164"/>
      <c r="E34" s="10"/>
      <c r="F34" s="10"/>
      <c r="G34" s="10"/>
      <c r="H34" s="10"/>
      <c r="I34" s="163"/>
      <c r="J34" s="9"/>
      <c r="K34" s="91"/>
      <c r="L34" s="92"/>
      <c r="M34" s="138"/>
    </row>
    <row r="35" spans="2:17" x14ac:dyDescent="0.35">
      <c r="B35" s="183"/>
      <c r="C35" s="226">
        <v>2010</v>
      </c>
      <c r="D35" s="185"/>
      <c r="E35" s="186"/>
      <c r="F35" s="186">
        <v>1</v>
      </c>
      <c r="G35" s="186"/>
      <c r="H35" s="186"/>
      <c r="I35" s="187"/>
      <c r="J35" s="183">
        <v>14.56</v>
      </c>
      <c r="K35" s="199">
        <v>548.96</v>
      </c>
      <c r="L35" s="200">
        <v>584.20000000000005</v>
      </c>
      <c r="M35" s="138"/>
      <c r="O35" s="159"/>
    </row>
    <row r="36" spans="2:17" x14ac:dyDescent="0.35">
      <c r="B36" s="9"/>
      <c r="C36" s="118"/>
      <c r="D36" s="164"/>
      <c r="E36" s="10"/>
      <c r="F36" s="10"/>
      <c r="G36" s="10"/>
      <c r="H36" s="10"/>
      <c r="I36" s="163"/>
      <c r="J36" s="158"/>
      <c r="K36" s="91"/>
      <c r="L36" s="8"/>
      <c r="M36" s="138"/>
    </row>
    <row r="37" spans="2:17" x14ac:dyDescent="0.35">
      <c r="B37" s="183"/>
      <c r="C37" s="226">
        <v>2014</v>
      </c>
      <c r="D37" s="185"/>
      <c r="E37" s="186"/>
      <c r="F37" s="186"/>
      <c r="G37" s="186">
        <v>1</v>
      </c>
      <c r="H37" s="186"/>
      <c r="I37" s="187"/>
      <c r="J37" s="227">
        <v>17.07</v>
      </c>
      <c r="K37" s="199">
        <v>587.59</v>
      </c>
      <c r="L37" s="228">
        <v>627.96</v>
      </c>
      <c r="M37" s="35" t="s">
        <v>168</v>
      </c>
    </row>
    <row r="38" spans="2:17" x14ac:dyDescent="0.35">
      <c r="B38" s="183"/>
      <c r="C38" s="226">
        <v>2019</v>
      </c>
      <c r="D38" s="185"/>
      <c r="E38" s="186"/>
      <c r="F38" s="186"/>
      <c r="G38" s="186">
        <v>1</v>
      </c>
      <c r="H38" s="186"/>
      <c r="I38" s="187"/>
      <c r="J38" s="227">
        <v>9.61</v>
      </c>
      <c r="K38" s="199">
        <v>582.91999999999996</v>
      </c>
      <c r="L38" s="228">
        <v>613.24</v>
      </c>
      <c r="M38" s="138"/>
    </row>
    <row r="39" spans="2:17" x14ac:dyDescent="0.35">
      <c r="B39" s="9"/>
      <c r="C39" s="118"/>
      <c r="D39" s="164"/>
      <c r="E39" s="10"/>
      <c r="F39" s="10"/>
      <c r="G39" s="10"/>
      <c r="H39" s="10"/>
      <c r="I39" s="163"/>
      <c r="J39" s="158"/>
      <c r="K39" s="91"/>
      <c r="L39" s="8"/>
      <c r="M39" s="138"/>
    </row>
    <row r="40" spans="2:17" x14ac:dyDescent="0.35">
      <c r="B40" s="11"/>
      <c r="C40" s="231"/>
      <c r="D40" s="165"/>
      <c r="E40" s="122"/>
      <c r="F40" s="122"/>
      <c r="G40" s="122"/>
      <c r="H40" s="122"/>
      <c r="I40" s="166"/>
      <c r="J40" s="11"/>
      <c r="K40" s="95"/>
      <c r="L40" s="13"/>
      <c r="M40" s="138"/>
    </row>
    <row r="42" spans="2:17" ht="15.5" x14ac:dyDescent="0.35">
      <c r="B42" s="26" t="s">
        <v>18</v>
      </c>
      <c r="F42" s="193"/>
      <c r="G42" s="35" t="s">
        <v>128</v>
      </c>
    </row>
    <row r="43" spans="2:17" x14ac:dyDescent="0.35">
      <c r="C43" s="99" t="s">
        <v>16</v>
      </c>
      <c r="D43" s="100" t="s">
        <v>17</v>
      </c>
    </row>
    <row r="44" spans="2:17" x14ac:dyDescent="0.35">
      <c r="B44" s="27" t="s">
        <v>13</v>
      </c>
      <c r="C44" s="101">
        <f>J38-J31</f>
        <v>-26.880000000000003</v>
      </c>
      <c r="D44" s="125">
        <f>(J31-J38)/J31</f>
        <v>0.73664017539051796</v>
      </c>
    </row>
    <row r="45" spans="2:17" x14ac:dyDescent="0.35">
      <c r="B45" s="28" t="s">
        <v>14</v>
      </c>
      <c r="C45" s="103">
        <f>K38-K31</f>
        <v>-10.509999999999991</v>
      </c>
      <c r="D45" s="127">
        <f>(K31-K38)/K31</f>
        <v>1.771059771160877E-2</v>
      </c>
    </row>
    <row r="46" spans="2:17" x14ac:dyDescent="0.35">
      <c r="B46" s="29" t="s">
        <v>15</v>
      </c>
      <c r="C46" s="105">
        <f>L38-L31</f>
        <v>-37.360000000000014</v>
      </c>
      <c r="D46" s="129">
        <f>(L31-L38)/L31</f>
        <v>5.7423916384875519E-2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4" tint="0.39997558519241921"/>
  </sheetPr>
  <dimension ref="A1:W48"/>
  <sheetViews>
    <sheetView tabSelected="1" topLeftCell="A25" workbookViewId="0">
      <selection activeCell="J31" sqref="J31"/>
    </sheetView>
  </sheetViews>
  <sheetFormatPr baseColWidth="10" defaultColWidth="10.81640625" defaultRowHeight="14.5" x14ac:dyDescent="0.35"/>
  <cols>
    <col min="1" max="1" width="10.81640625" style="137"/>
    <col min="2" max="2" width="19.453125" style="137" bestFit="1" customWidth="1"/>
    <col min="3" max="3" width="18" style="137" customWidth="1"/>
    <col min="4" max="4" width="14.7265625" style="137" customWidth="1"/>
    <col min="5" max="5" width="17.26953125" style="137" customWidth="1"/>
    <col min="6" max="6" width="15.26953125" style="137" customWidth="1"/>
    <col min="7" max="7" width="18.453125" style="137" customWidth="1"/>
    <col min="8" max="9" width="10.81640625" style="137"/>
    <col min="10" max="10" width="20.26953125" style="137" customWidth="1"/>
    <col min="11" max="15" width="15.54296875" style="137" customWidth="1"/>
    <col min="16" max="17" width="10.81640625" style="137"/>
    <col min="18" max="18" width="20.54296875" style="137" customWidth="1"/>
    <col min="19" max="23" width="15.54296875" style="137" customWidth="1"/>
    <col min="24" max="16384" width="10.81640625" style="137"/>
  </cols>
  <sheetData>
    <row r="1" spans="2:9" x14ac:dyDescent="0.35">
      <c r="C1" s="718"/>
      <c r="D1" s="718"/>
      <c r="E1" s="718"/>
      <c r="F1" s="718"/>
      <c r="G1" s="718"/>
    </row>
    <row r="2" spans="2:9" ht="21.75" customHeight="1" x14ac:dyDescent="0.35">
      <c r="B2" s="630" t="s">
        <v>72</v>
      </c>
      <c r="C2" s="740" t="s">
        <v>144</v>
      </c>
      <c r="D2" s="741"/>
      <c r="E2" s="741"/>
      <c r="F2" s="741"/>
      <c r="G2" s="741"/>
      <c r="H2" s="741"/>
      <c r="I2" s="631"/>
    </row>
    <row r="3" spans="2:9" ht="15" customHeight="1" x14ac:dyDescent="0.35">
      <c r="B3" s="632" t="s">
        <v>213</v>
      </c>
      <c r="C3" s="343" t="s">
        <v>8</v>
      </c>
      <c r="D3" s="342" t="s">
        <v>2</v>
      </c>
      <c r="E3" s="342" t="s">
        <v>3</v>
      </c>
      <c r="F3" s="342" t="s">
        <v>4</v>
      </c>
      <c r="G3" s="342" t="s">
        <v>5</v>
      </c>
      <c r="H3" s="342" t="s">
        <v>145</v>
      </c>
      <c r="I3" s="342" t="s">
        <v>15</v>
      </c>
    </row>
    <row r="4" spans="2:9" x14ac:dyDescent="0.35">
      <c r="B4" s="638" t="s">
        <v>146</v>
      </c>
      <c r="C4" s="626">
        <f>'TABLA GNAL'!FC29</f>
        <v>1</v>
      </c>
      <c r="D4" s="626">
        <f>'TABLA GNAL'!FD29</f>
        <v>21</v>
      </c>
      <c r="E4" s="626">
        <f>'TABLA GNAL'!FE29</f>
        <v>38</v>
      </c>
      <c r="F4" s="626">
        <f>'TABLA GNAL'!FF29</f>
        <v>27</v>
      </c>
      <c r="G4" s="626">
        <f>'TABLA GNAL'!FG29</f>
        <v>16</v>
      </c>
      <c r="H4" s="626">
        <f>'TABLA GNAL'!FH29</f>
        <v>5</v>
      </c>
      <c r="I4" s="626">
        <f>SUM(C4:H4)</f>
        <v>108</v>
      </c>
    </row>
    <row r="5" spans="2:9" x14ac:dyDescent="0.35">
      <c r="B5" s="626" t="s">
        <v>147</v>
      </c>
      <c r="C5" s="626">
        <f>'TABLA GNAL'!EV29</f>
        <v>0</v>
      </c>
      <c r="D5" s="626">
        <f>'TABLA GNAL'!EW29</f>
        <v>2</v>
      </c>
      <c r="E5" s="626">
        <f>'TABLA GNAL'!EX29</f>
        <v>6</v>
      </c>
      <c r="F5" s="626">
        <f>'TABLA GNAL'!EY29</f>
        <v>2</v>
      </c>
      <c r="G5" s="626">
        <f>'TABLA GNAL'!EZ29</f>
        <v>1</v>
      </c>
      <c r="H5" s="626">
        <f>'TABLA GNAL'!FA29</f>
        <v>0</v>
      </c>
      <c r="I5" s="626">
        <f t="shared" ref="I5:I7" si="0">SUM(C5:H5)</f>
        <v>11</v>
      </c>
    </row>
    <row r="6" spans="2:9" x14ac:dyDescent="0.35">
      <c r="B6" s="625" t="s">
        <v>148</v>
      </c>
      <c r="C6" s="626">
        <f>'TABLA GNAL'!EO29</f>
        <v>1</v>
      </c>
      <c r="D6" s="626">
        <f>'TABLA GNAL'!EP29</f>
        <v>3</v>
      </c>
      <c r="E6" s="626">
        <f>'TABLA GNAL'!EQ29</f>
        <v>5</v>
      </c>
      <c r="F6" s="626">
        <f>'TABLA GNAL'!ER29</f>
        <v>4</v>
      </c>
      <c r="G6" s="626">
        <f>'TABLA GNAL'!ES29</f>
        <v>4</v>
      </c>
      <c r="H6" s="626">
        <f>'TABLA GNAL'!ET29</f>
        <v>2</v>
      </c>
      <c r="I6" s="626">
        <f t="shared" si="0"/>
        <v>19</v>
      </c>
    </row>
    <row r="7" spans="2:9" x14ac:dyDescent="0.35">
      <c r="B7" s="626" t="s">
        <v>151</v>
      </c>
      <c r="C7" s="626">
        <f>SUM(C10:C11)</f>
        <v>2</v>
      </c>
      <c r="D7" s="626">
        <f t="shared" ref="D7:H7" si="1">SUM(D10:D11)</f>
        <v>1</v>
      </c>
      <c r="E7" s="626">
        <f t="shared" si="1"/>
        <v>0</v>
      </c>
      <c r="F7" s="626">
        <f t="shared" si="1"/>
        <v>3</v>
      </c>
      <c r="G7" s="626">
        <f t="shared" si="1"/>
        <v>3</v>
      </c>
      <c r="H7" s="626">
        <f t="shared" si="1"/>
        <v>1</v>
      </c>
      <c r="I7" s="626">
        <f t="shared" si="0"/>
        <v>10</v>
      </c>
    </row>
    <row r="8" spans="2:9" x14ac:dyDescent="0.35">
      <c r="B8" s="628" t="s">
        <v>67</v>
      </c>
      <c r="C8" s="628">
        <f>SUM(C4:C7)</f>
        <v>4</v>
      </c>
      <c r="D8" s="628">
        <f t="shared" ref="D8:H8" si="2">SUM(D4:D7)</f>
        <v>27</v>
      </c>
      <c r="E8" s="629">
        <f>SUM(E4:E7)</f>
        <v>49</v>
      </c>
      <c r="F8" s="629">
        <f t="shared" si="2"/>
        <v>36</v>
      </c>
      <c r="G8" s="628">
        <f t="shared" si="2"/>
        <v>24</v>
      </c>
      <c r="H8" s="628">
        <f t="shared" si="2"/>
        <v>8</v>
      </c>
      <c r="I8" s="628">
        <f>SUM(C8:H8)</f>
        <v>148</v>
      </c>
    </row>
    <row r="10" spans="2:9" x14ac:dyDescent="0.35">
      <c r="B10" s="639" t="s">
        <v>150</v>
      </c>
      <c r="C10" s="137">
        <f>'TABLA GNAL'!EH29</f>
        <v>1</v>
      </c>
      <c r="D10" s="137">
        <f>'TABLA GNAL'!EI29</f>
        <v>0</v>
      </c>
      <c r="E10" s="137">
        <f>'TABLA GNAL'!EJ29</f>
        <v>0</v>
      </c>
      <c r="F10" s="137">
        <f>'TABLA GNAL'!EK29</f>
        <v>2</v>
      </c>
      <c r="G10" s="137">
        <f>'TABLA GNAL'!EL29</f>
        <v>2</v>
      </c>
      <c r="H10" s="137">
        <f>'TABLA GNAL'!EM29</f>
        <v>0</v>
      </c>
      <c r="I10" s="137">
        <f>SUM(C10:H10)</f>
        <v>5</v>
      </c>
    </row>
    <row r="11" spans="2:9" x14ac:dyDescent="0.35">
      <c r="B11" s="137" t="s">
        <v>149</v>
      </c>
      <c r="C11" s="137">
        <f>'TABLA GNAL'!EA29</f>
        <v>1</v>
      </c>
      <c r="D11" s="137">
        <f>'TABLA GNAL'!EB29</f>
        <v>1</v>
      </c>
      <c r="E11" s="137">
        <f>'TABLA GNAL'!EC29</f>
        <v>0</v>
      </c>
      <c r="F11" s="137">
        <f>'TABLA GNAL'!ED29</f>
        <v>1</v>
      </c>
      <c r="G11" s="137">
        <f>'TABLA GNAL'!EE29</f>
        <v>1</v>
      </c>
      <c r="H11" s="137">
        <f>'TABLA GNAL'!EF29</f>
        <v>1</v>
      </c>
      <c r="I11" s="137">
        <f>SUM(C11:H11)</f>
        <v>5</v>
      </c>
    </row>
    <row r="13" spans="2:9" x14ac:dyDescent="0.35">
      <c r="E13" s="629">
        <f>+E8+F8</f>
        <v>85</v>
      </c>
    </row>
    <row r="16" spans="2:9" ht="15" thickBot="1" x14ac:dyDescent="0.4">
      <c r="B16" s="35" t="s">
        <v>216</v>
      </c>
    </row>
    <row r="17" spans="1:8" x14ac:dyDescent="0.35">
      <c r="B17" s="633" t="s">
        <v>72</v>
      </c>
      <c r="C17" s="742" t="s">
        <v>164</v>
      </c>
      <c r="D17" s="743"/>
      <c r="E17" s="744"/>
      <c r="F17" s="743" t="s">
        <v>165</v>
      </c>
      <c r="G17" s="743"/>
      <c r="H17" s="744"/>
    </row>
    <row r="18" spans="1:8" ht="15" thickBot="1" x14ac:dyDescent="0.4">
      <c r="B18" s="634" t="s">
        <v>213</v>
      </c>
      <c r="C18" s="394" t="s">
        <v>100</v>
      </c>
      <c r="D18" s="395" t="s">
        <v>102</v>
      </c>
      <c r="E18" s="396" t="s">
        <v>103</v>
      </c>
      <c r="F18" s="397" t="s">
        <v>100</v>
      </c>
      <c r="G18" s="395" t="s">
        <v>102</v>
      </c>
      <c r="H18" s="396" t="s">
        <v>103</v>
      </c>
    </row>
    <row r="19" spans="1:8" x14ac:dyDescent="0.35">
      <c r="B19" s="640" t="s">
        <v>146</v>
      </c>
      <c r="C19" s="641">
        <f>'TABLA GNAL'!CB29</f>
        <v>4.732274448422856E-2</v>
      </c>
      <c r="D19" s="642">
        <f>'TABLA GNAL'!CC29</f>
        <v>0.58013374367499027</v>
      </c>
      <c r="E19" s="643">
        <f>'TABLA GNAL'!CD29</f>
        <v>0.82739130241484238</v>
      </c>
      <c r="F19" s="644">
        <f>'TABLA GNAL'!CE29</f>
        <v>6.3635865084765621E-3</v>
      </c>
      <c r="G19" s="645">
        <f>'TABLA GNAL'!CF29</f>
        <v>-6.02655276302844E-4</v>
      </c>
      <c r="H19" s="646">
        <f>'TABLA GNAL'!CG29</f>
        <v>3.3092994723546535E-4</v>
      </c>
    </row>
    <row r="20" spans="1:8" x14ac:dyDescent="0.35">
      <c r="B20" s="152" t="s">
        <v>147</v>
      </c>
      <c r="C20" s="641">
        <f>'TABLA GNAL'!BU29</f>
        <v>1.0417325658945711</v>
      </c>
      <c r="D20" s="642">
        <f>'TABLA GNAL'!BV29</f>
        <v>0.32051318322194533</v>
      </c>
      <c r="E20" s="643">
        <f>'TABLA GNAL'!BW29</f>
        <v>1.4717631273865688</v>
      </c>
      <c r="F20" s="644">
        <f>'TABLA GNAL'!BX29</f>
        <v>1.9987741335897733E-2</v>
      </c>
      <c r="G20" s="645">
        <f>'TABLA GNAL'!BY29</f>
        <v>2.4422839676057457E-4</v>
      </c>
      <c r="H20" s="646">
        <f>'TABLA GNAL'!BZ29</f>
        <v>1.5987059108473762E-3</v>
      </c>
    </row>
    <row r="21" spans="1:8" x14ac:dyDescent="0.35">
      <c r="B21" s="647" t="s">
        <v>148</v>
      </c>
      <c r="C21" s="641">
        <f>'TABLA GNAL'!BN29</f>
        <v>0.50181986444698934</v>
      </c>
      <c r="D21" s="642">
        <f>'TABLA GNAL'!BO29</f>
        <v>0.72709541392839216</v>
      </c>
      <c r="E21" s="643">
        <f>'TABLA GNAL'!BP29</f>
        <v>1.6883315629555664</v>
      </c>
      <c r="F21" s="644">
        <f>'TABLA GNAL'!BQ29</f>
        <v>5.772981222283681E-3</v>
      </c>
      <c r="G21" s="645">
        <f>'TABLA GNAL'!BR29</f>
        <v>3.0971986398268532E-3</v>
      </c>
      <c r="H21" s="646">
        <f>'TABLA GNAL'!BS29</f>
        <v>4.9435102540128437E-3</v>
      </c>
    </row>
    <row r="22" spans="1:8" x14ac:dyDescent="0.35">
      <c r="B22" s="152" t="s">
        <v>151</v>
      </c>
      <c r="C22" s="641">
        <f>AVERAGE(C25:C25)</f>
        <v>4.1568236883813829E-2</v>
      </c>
      <c r="D22" s="642">
        <f>D26</f>
        <v>0</v>
      </c>
      <c r="E22" s="643">
        <f t="shared" ref="E22:H22" si="3">AVERAGE(E25:E25)</f>
        <v>2.8327585488375729E-3</v>
      </c>
      <c r="F22" s="644">
        <f>AVERAGE(F25:F25)</f>
        <v>2.5598883155414482E-3</v>
      </c>
      <c r="G22" s="645">
        <f>G26</f>
        <v>0</v>
      </c>
      <c r="H22" s="646">
        <f t="shared" si="3"/>
        <v>1.6015593394740607E-5</v>
      </c>
    </row>
    <row r="23" spans="1:8" ht="15" thickBot="1" x14ac:dyDescent="0.4">
      <c r="B23" s="648" t="s">
        <v>167</v>
      </c>
      <c r="C23" s="649">
        <f>'TABLA GNAL'!AA29</f>
        <v>0.17739918472983238</v>
      </c>
      <c r="D23" s="650">
        <f>'TABLA GNAL'!AB29</f>
        <v>0.50542339552456528</v>
      </c>
      <c r="E23" s="651">
        <f>'TABLA GNAL'!AC29</f>
        <v>0.88308023372963962</v>
      </c>
      <c r="F23" s="652">
        <f>'TABLA GNAL'!AD29</f>
        <v>7.0014702207620615E-3</v>
      </c>
      <c r="G23" s="653">
        <f>'TABLA GNAL'!AE29</f>
        <v>-3.498013407218469E-5</v>
      </c>
      <c r="H23" s="654">
        <f>'TABLA GNAL'!AF29</f>
        <v>9.8624030333878897E-4</v>
      </c>
    </row>
    <row r="25" spans="1:8" x14ac:dyDescent="0.35">
      <c r="B25" s="639" t="s">
        <v>150</v>
      </c>
      <c r="C25" s="159">
        <f>'TABLA GNAL'!BG29</f>
        <v>4.1568236883813829E-2</v>
      </c>
      <c r="D25" s="159" t="e">
        <f>'TABLA GNAL'!BH29</f>
        <v>#DIV/0!</v>
      </c>
      <c r="E25" s="159">
        <f>'TABLA GNAL'!BI29</f>
        <v>2.8327585488375729E-3</v>
      </c>
      <c r="F25" s="655">
        <f>'TABLA GNAL'!BJ29</f>
        <v>2.5598883155414482E-3</v>
      </c>
      <c r="G25" s="655" t="e">
        <f>'TABLA GNAL'!BK29</f>
        <v>#DIV/0!</v>
      </c>
      <c r="H25" s="655">
        <f>'TABLA GNAL'!BL29</f>
        <v>1.6015593394740607E-5</v>
      </c>
    </row>
    <row r="26" spans="1:8" x14ac:dyDescent="0.35">
      <c r="B26" s="137" t="s">
        <v>149</v>
      </c>
      <c r="C26" s="159">
        <f>'TABLA GNAL'!AY29</f>
        <v>0</v>
      </c>
      <c r="D26" s="159">
        <f>'TABLA GNAL'!AZ29</f>
        <v>0</v>
      </c>
      <c r="E26" s="159">
        <f>'TABLA GNAL'!BA29</f>
        <v>0</v>
      </c>
      <c r="F26" s="655">
        <f>'TABLA GNAL'!BB29</f>
        <v>0</v>
      </c>
      <c r="G26" s="655">
        <f>'TABLA GNAL'!BC29</f>
        <v>0</v>
      </c>
      <c r="H26" s="655">
        <f>'TABLA GNAL'!BD29</f>
        <v>0</v>
      </c>
    </row>
    <row r="28" spans="1:8" ht="15" thickBot="1" x14ac:dyDescent="0.4">
      <c r="B28" s="667" t="s">
        <v>217</v>
      </c>
      <c r="C28" s="656"/>
      <c r="D28" s="656"/>
      <c r="E28" s="656"/>
      <c r="F28" s="656"/>
      <c r="G28" s="656"/>
      <c r="H28" s="656"/>
    </row>
    <row r="29" spans="1:8" x14ac:dyDescent="0.35">
      <c r="B29" s="635" t="s">
        <v>72</v>
      </c>
      <c r="C29" s="745" t="s">
        <v>164</v>
      </c>
      <c r="D29" s="746"/>
      <c r="E29" s="747"/>
      <c r="F29" s="746" t="s">
        <v>165</v>
      </c>
      <c r="G29" s="746"/>
      <c r="H29" s="747"/>
    </row>
    <row r="30" spans="1:8" ht="15" thickBot="1" x14ac:dyDescent="0.4">
      <c r="A30" s="139"/>
      <c r="B30" s="636" t="s">
        <v>213</v>
      </c>
      <c r="C30" s="398" t="s">
        <v>100</v>
      </c>
      <c r="D30" s="399" t="s">
        <v>102</v>
      </c>
      <c r="E30" s="400" t="s">
        <v>103</v>
      </c>
      <c r="F30" s="401" t="s">
        <v>100</v>
      </c>
      <c r="G30" s="399" t="s">
        <v>102</v>
      </c>
      <c r="H30" s="400" t="s">
        <v>103</v>
      </c>
    </row>
    <row r="31" spans="1:8" x14ac:dyDescent="0.35">
      <c r="B31" s="657" t="s">
        <v>146</v>
      </c>
      <c r="C31" s="658">
        <f>'TABLA GNAL'!DM29</f>
        <v>0.60012454814668137</v>
      </c>
      <c r="D31" s="659">
        <f>'TABLA GNAL'!DN29</f>
        <v>1.7987243562509909</v>
      </c>
      <c r="E31" s="660">
        <f>'TABLA GNAL'!DO29</f>
        <v>2.5145891134203668</v>
      </c>
      <c r="F31" s="661">
        <f>'TABLA GNAL'!DP29</f>
        <v>1.2489140010149223E-2</v>
      </c>
      <c r="G31" s="662">
        <f>'TABLA GNAL'!DQ29</f>
        <v>3.9022892472156887E-3</v>
      </c>
      <c r="H31" s="663">
        <f>'TABLA GNAL'!DR29</f>
        <v>4.7308091357155932E-3</v>
      </c>
    </row>
    <row r="32" spans="1:8" x14ac:dyDescent="0.35">
      <c r="B32" s="664" t="s">
        <v>147</v>
      </c>
      <c r="C32" s="658">
        <f>'TABLA GNAL'!DF29</f>
        <v>1.2494878124035791</v>
      </c>
      <c r="D32" s="659">
        <f>'TABLA GNAL'!DG29</f>
        <v>0.39326029126126388</v>
      </c>
      <c r="E32" s="660">
        <f>'TABLA GNAL'!DH29</f>
        <v>3.0342857142857156</v>
      </c>
      <c r="F32" s="661">
        <f>'TABLA GNAL'!DI29</f>
        <v>3.1139289397756786E-2</v>
      </c>
      <c r="G32" s="662">
        <f>'TABLA GNAL'!DJ29</f>
        <v>7.729456984877926E-4</v>
      </c>
      <c r="H32" s="663">
        <f>'TABLA GNAL'!DK29</f>
        <v>3.5814613846293945E-3</v>
      </c>
    </row>
    <row r="33" spans="2:23" x14ac:dyDescent="0.35">
      <c r="B33" s="665" t="s">
        <v>148</v>
      </c>
      <c r="C33" s="658">
        <f>'TABLA GNAL'!CY29</f>
        <v>0.44663282655360415</v>
      </c>
      <c r="D33" s="659">
        <f>'TABLA GNAL'!CZ29</f>
        <v>0.29254957259264219</v>
      </c>
      <c r="E33" s="660">
        <f>'TABLA GNAL'!DA29</f>
        <v>0.85914189722124057</v>
      </c>
      <c r="F33" s="661">
        <f>'TABLA GNAL'!DB29</f>
        <v>1.0954530138518678E-2</v>
      </c>
      <c r="G33" s="662">
        <f>'TABLA GNAL'!DC29</f>
        <v>2.1347415970074265E-3</v>
      </c>
      <c r="H33" s="663">
        <f>'TABLA GNAL'!DD29</f>
        <v>3.5869258320912474E-3</v>
      </c>
    </row>
    <row r="34" spans="2:23" x14ac:dyDescent="0.35">
      <c r="B34" s="664" t="s">
        <v>151</v>
      </c>
      <c r="C34" s="658">
        <f>AVERAGE(C37)</f>
        <v>2.0087289217440463E-2</v>
      </c>
      <c r="D34" s="659">
        <f t="shared" ref="D34:H34" si="4">AVERAGE(D37)</f>
        <v>4.0547940704268495E-2</v>
      </c>
      <c r="E34" s="660">
        <f t="shared" si="4"/>
        <v>6.4994305846041781E-2</v>
      </c>
      <c r="F34" s="661">
        <f t="shared" si="4"/>
        <v>1.4226125508102312E-3</v>
      </c>
      <c r="G34" s="662">
        <f t="shared" si="4"/>
        <v>3.203064903778874E-4</v>
      </c>
      <c r="H34" s="663">
        <f t="shared" si="4"/>
        <v>3.8227207140024419E-4</v>
      </c>
    </row>
    <row r="35" spans="2:23" ht="15" thickBot="1" x14ac:dyDescent="0.4">
      <c r="B35" s="648" t="s">
        <v>163</v>
      </c>
      <c r="C35" s="649">
        <f>'TABLA GNAL'!AI29</f>
        <v>0.50201036200467153</v>
      </c>
      <c r="D35" s="650">
        <f>'TABLA GNAL'!AJ29</f>
        <v>1.5572069666652117</v>
      </c>
      <c r="E35" s="651">
        <f>'TABLA GNAL'!AK29</f>
        <v>2.2204955402697197</v>
      </c>
      <c r="F35" s="652">
        <f>'TABLA GNAL'!AL29</f>
        <v>1.5646997150868286E-2</v>
      </c>
      <c r="G35" s="653">
        <f>'TABLA GNAL'!AM29</f>
        <v>3.7225695741559595E-3</v>
      </c>
      <c r="H35" s="654">
        <f>'TABLA GNAL'!AN29</f>
        <v>4.3799648560706866E-3</v>
      </c>
    </row>
    <row r="37" spans="2:23" x14ac:dyDescent="0.35">
      <c r="B37" s="639" t="s">
        <v>150</v>
      </c>
      <c r="C37" s="159">
        <f>'TABLA GNAL'!CR29</f>
        <v>2.0087289217440463E-2</v>
      </c>
      <c r="D37" s="159">
        <f>'TABLA GNAL'!CS29</f>
        <v>4.0547940704268495E-2</v>
      </c>
      <c r="E37" s="159">
        <f>'TABLA GNAL'!CT29</f>
        <v>6.4994305846041781E-2</v>
      </c>
      <c r="F37" s="159">
        <f>'TABLA GNAL'!CU29</f>
        <v>1.4226125508102312E-3</v>
      </c>
      <c r="G37" s="159">
        <f>'TABLA GNAL'!CV29</f>
        <v>3.203064903778874E-4</v>
      </c>
      <c r="H37" s="159">
        <f>'TABLA GNAL'!CW29</f>
        <v>3.8227207140024419E-4</v>
      </c>
    </row>
    <row r="38" spans="2:23" x14ac:dyDescent="0.35">
      <c r="B38" s="137" t="s">
        <v>149</v>
      </c>
      <c r="C38" s="159">
        <f>'TABLA GNAL'!CJ29</f>
        <v>0</v>
      </c>
      <c r="D38" s="159">
        <f>'TABLA GNAL'!CK29</f>
        <v>0</v>
      </c>
      <c r="E38" s="159">
        <f>'TABLA GNAL'!CL29</f>
        <v>0</v>
      </c>
      <c r="F38" s="655">
        <f>'TABLA GNAL'!CM29</f>
        <v>0</v>
      </c>
      <c r="G38" s="655">
        <f>'TABLA GNAL'!CN29</f>
        <v>0</v>
      </c>
      <c r="H38" s="655">
        <f>'TABLA GNAL'!CO29</f>
        <v>0</v>
      </c>
    </row>
    <row r="39" spans="2:23" x14ac:dyDescent="0.35">
      <c r="B39" s="137" t="s">
        <v>218</v>
      </c>
      <c r="C39" s="137">
        <v>12</v>
      </c>
      <c r="D39" s="137">
        <v>12</v>
      </c>
    </row>
    <row r="41" spans="2:23" s="666" customFormat="1" ht="24" customHeight="1" x14ac:dyDescent="0.35">
      <c r="C41" s="751" t="s">
        <v>180</v>
      </c>
      <c r="D41" s="752"/>
      <c r="E41" s="752"/>
      <c r="F41" s="752"/>
      <c r="G41" s="752"/>
      <c r="K41" s="757" t="s">
        <v>184</v>
      </c>
      <c r="L41" s="758"/>
      <c r="M41" s="758"/>
      <c r="N41" s="758"/>
      <c r="O41" s="758"/>
      <c r="R41" s="637"/>
      <c r="S41" s="736" t="s">
        <v>186</v>
      </c>
      <c r="T41" s="737"/>
      <c r="U41" s="737"/>
      <c r="V41" s="737"/>
      <c r="W41" s="737"/>
    </row>
    <row r="42" spans="2:23" s="666" customFormat="1" ht="24" customHeight="1" thickBot="1" x14ac:dyDescent="0.4">
      <c r="B42" s="483"/>
      <c r="C42" s="748" t="s">
        <v>179</v>
      </c>
      <c r="D42" s="748"/>
      <c r="E42" s="748"/>
      <c r="F42" s="748"/>
      <c r="G42" s="749" t="s">
        <v>177</v>
      </c>
      <c r="J42" s="670"/>
      <c r="K42" s="755" t="s">
        <v>185</v>
      </c>
      <c r="L42" s="755"/>
      <c r="M42" s="755"/>
      <c r="N42" s="756"/>
      <c r="O42" s="753" t="s">
        <v>177</v>
      </c>
      <c r="R42" s="484"/>
      <c r="S42" s="738" t="s">
        <v>185</v>
      </c>
      <c r="T42" s="738"/>
      <c r="U42" s="738"/>
      <c r="V42" s="739"/>
      <c r="W42" s="734" t="s">
        <v>177</v>
      </c>
    </row>
    <row r="43" spans="2:23" s="666" customFormat="1" ht="24.65" customHeight="1" thickTop="1" thickBot="1" x14ac:dyDescent="0.4">
      <c r="B43" s="483"/>
      <c r="C43" s="485" t="s">
        <v>169</v>
      </c>
      <c r="D43" s="485" t="s">
        <v>170</v>
      </c>
      <c r="E43" s="486" t="s">
        <v>171</v>
      </c>
      <c r="F43" s="487" t="s">
        <v>172</v>
      </c>
      <c r="G43" s="750"/>
      <c r="K43" s="671" t="s">
        <v>108</v>
      </c>
      <c r="L43" s="671" t="s">
        <v>173</v>
      </c>
      <c r="M43" s="671" t="s">
        <v>174</v>
      </c>
      <c r="N43" s="671" t="s">
        <v>175</v>
      </c>
      <c r="O43" s="754"/>
      <c r="R43" s="488"/>
      <c r="S43" s="489" t="s">
        <v>108</v>
      </c>
      <c r="T43" s="489" t="s">
        <v>173</v>
      </c>
      <c r="U43" s="489" t="s">
        <v>174</v>
      </c>
      <c r="V43" s="489" t="s">
        <v>175</v>
      </c>
      <c r="W43" s="735"/>
    </row>
    <row r="44" spans="2:23" s="666" customFormat="1" ht="15.5" thickTop="1" thickBot="1" x14ac:dyDescent="0.4">
      <c r="B44" s="490" t="s">
        <v>178</v>
      </c>
      <c r="C44" s="491">
        <f>'TABLA GNAL'!FL29</f>
        <v>12</v>
      </c>
      <c r="D44" s="491">
        <f>'TABLA GNAL'!FM29</f>
        <v>2</v>
      </c>
      <c r="E44" s="492">
        <f>'TABLA GNAL'!FN29</f>
        <v>2</v>
      </c>
      <c r="F44" s="492">
        <f>'TABLA GNAL'!FO29</f>
        <v>1</v>
      </c>
      <c r="G44" s="493">
        <f>'TABLA GNAL'!FK29</f>
        <v>8</v>
      </c>
      <c r="J44" s="672" t="s">
        <v>178</v>
      </c>
      <c r="K44" s="673">
        <f>'TABLA GNAL'!FR29</f>
        <v>9</v>
      </c>
      <c r="L44" s="673">
        <f>'TABLA GNAL'!FS29</f>
        <v>3</v>
      </c>
      <c r="M44" s="673">
        <f>'TABLA GNAL'!FT29</f>
        <v>2</v>
      </c>
      <c r="N44" s="673">
        <f>'TABLA GNAL'!FU29</f>
        <v>0</v>
      </c>
      <c r="O44" s="674">
        <f>'TABLA GNAL'!FQ29</f>
        <v>11</v>
      </c>
      <c r="R44" s="494" t="s">
        <v>178</v>
      </c>
      <c r="S44" s="495">
        <f>'TABLA GNAL'!FX29</f>
        <v>7</v>
      </c>
      <c r="T44" s="495">
        <f>'TABLA GNAL'!FY29</f>
        <v>5</v>
      </c>
      <c r="U44" s="495">
        <f>'TABLA GNAL'!FZ29</f>
        <v>4</v>
      </c>
      <c r="V44" s="495">
        <f>'TABLA GNAL'!GA29</f>
        <v>0</v>
      </c>
      <c r="W44" s="496">
        <f>'TABLA GNAL'!FW29</f>
        <v>9</v>
      </c>
    </row>
    <row r="45" spans="2:23" s="666" customFormat="1" ht="29.5" thickBot="1" x14ac:dyDescent="0.4">
      <c r="B45" s="497" t="s">
        <v>182</v>
      </c>
      <c r="C45" s="498">
        <f>'TABLA GNAL'!FL30</f>
        <v>4546</v>
      </c>
      <c r="D45" s="498">
        <f>'TABLA GNAL'!FM30</f>
        <v>1410</v>
      </c>
      <c r="E45" s="499">
        <f>'TABLA GNAL'!FN30</f>
        <v>1250</v>
      </c>
      <c r="F45" s="499">
        <f>'TABLA GNAL'!FO30</f>
        <v>1000</v>
      </c>
      <c r="G45" s="500">
        <f>'TABLA GNAL'!FK30</f>
        <v>1306</v>
      </c>
      <c r="J45" s="675" t="s">
        <v>182</v>
      </c>
      <c r="K45" s="676">
        <f>'TABLA GNAL'!FR30</f>
        <v>4044</v>
      </c>
      <c r="L45" s="676">
        <f>'TABLA GNAL'!FS30</f>
        <v>1005</v>
      </c>
      <c r="M45" s="676">
        <f>'TABLA GNAL'!FT30</f>
        <v>880</v>
      </c>
      <c r="N45" s="676">
        <f>'TABLA GNAL'!FU30</f>
        <v>0</v>
      </c>
      <c r="O45" s="677">
        <f>'TABLA GNAL'!FQ30</f>
        <v>3583</v>
      </c>
      <c r="R45" s="501" t="s">
        <v>182</v>
      </c>
      <c r="S45" s="502">
        <f>'TABLA GNAL'!FX30</f>
        <v>2481</v>
      </c>
      <c r="T45" s="502">
        <f>'TABLA GNAL'!FY30</f>
        <v>3622</v>
      </c>
      <c r="U45" s="502">
        <f>'TABLA GNAL'!FZ30</f>
        <v>1885</v>
      </c>
      <c r="V45" s="502">
        <f>'TABLA GNAL'!GA30</f>
        <v>0</v>
      </c>
      <c r="W45" s="503">
        <f>'TABLA GNAL'!FW30</f>
        <v>1524</v>
      </c>
    </row>
    <row r="46" spans="2:23" s="666" customFormat="1" ht="71.25" customHeight="1" thickBot="1" x14ac:dyDescent="0.4">
      <c r="B46" s="504" t="s">
        <v>176</v>
      </c>
      <c r="C46" s="505">
        <f>'TABLA GNAL'!FL31</f>
        <v>22202.11</v>
      </c>
      <c r="D46" s="505">
        <f>'TABLA GNAL'!FM31</f>
        <v>7305.9500000000007</v>
      </c>
      <c r="E46" s="506">
        <f>'TABLA GNAL'!FN31</f>
        <v>5508</v>
      </c>
      <c r="F46" s="506">
        <f>'TABLA GNAL'!FO31</f>
        <v>4064</v>
      </c>
      <c r="G46" s="507">
        <f>'TABLA GNAL'!FK31</f>
        <v>6284.42</v>
      </c>
      <c r="J46" s="672" t="s">
        <v>176</v>
      </c>
      <c r="K46" s="678">
        <f>'TABLA GNAL'!FR31</f>
        <v>18329.38</v>
      </c>
      <c r="L46" s="678">
        <f>'TABLA GNAL'!FS31</f>
        <v>5591.96</v>
      </c>
      <c r="M46" s="678">
        <f>'TABLA GNAL'!FT31</f>
        <v>3437</v>
      </c>
      <c r="N46" s="678">
        <f>'TABLA GNAL'!FU31</f>
        <v>0</v>
      </c>
      <c r="O46" s="679">
        <f>'TABLA GNAL'!FQ31</f>
        <v>18006.14</v>
      </c>
      <c r="R46" s="495" t="s">
        <v>176</v>
      </c>
      <c r="S46" s="508">
        <f>'TABLA GNAL'!FX31</f>
        <v>11720.14</v>
      </c>
      <c r="T46" s="508">
        <f>'TABLA GNAL'!FY31</f>
        <v>16241.76</v>
      </c>
      <c r="U46" s="508">
        <f>'TABLA GNAL'!FZ31</f>
        <v>9028.9599999999991</v>
      </c>
      <c r="V46" s="508">
        <f>'TABLA GNAL'!GA31</f>
        <v>0</v>
      </c>
      <c r="W46" s="509">
        <f>'TABLA GNAL'!FW31</f>
        <v>8373.619999999999</v>
      </c>
    </row>
    <row r="47" spans="2:23" s="666" customFormat="1" ht="56.5" thickBot="1" x14ac:dyDescent="0.4">
      <c r="B47" s="497" t="s">
        <v>183</v>
      </c>
      <c r="C47" s="510">
        <f>'TABLA GNAL'!FL33</f>
        <v>0.47792262405382674</v>
      </c>
      <c r="D47" s="510">
        <f>'TABLA GNAL'!FM33</f>
        <v>0.14823380992430613</v>
      </c>
      <c r="E47" s="511">
        <f>'TABLA GNAL'!FN33</f>
        <v>0.13141295206055509</v>
      </c>
      <c r="F47" s="511">
        <f>'TABLA GNAL'!FO33</f>
        <v>0.10513036164844407</v>
      </c>
      <c r="G47" s="512">
        <f>'TABLA GNAL'!FK33</f>
        <v>0.13730025231286797</v>
      </c>
      <c r="J47" s="675" t="s">
        <v>183</v>
      </c>
      <c r="K47" s="680">
        <f>'TABLA GNAL'!FR33</f>
        <v>0.42514718250630784</v>
      </c>
      <c r="L47" s="680">
        <f>'TABLA GNAL'!FS33</f>
        <v>0.10565601345668629</v>
      </c>
      <c r="M47" s="680">
        <f>'TABLA GNAL'!FT33</f>
        <v>9.2514718250630776E-2</v>
      </c>
      <c r="N47" s="680">
        <f>'TABLA GNAL'!FU33</f>
        <v>0</v>
      </c>
      <c r="O47" s="681">
        <f>'TABLA GNAL'!FQ33</f>
        <v>0.37668208578637513</v>
      </c>
      <c r="R47" s="501" t="s">
        <v>183</v>
      </c>
      <c r="S47" s="513">
        <f>'TABLA GNAL'!FX33</f>
        <v>0.26082842724978972</v>
      </c>
      <c r="T47" s="513">
        <f>'TABLA GNAL'!FY33</f>
        <v>0.38078216989066443</v>
      </c>
      <c r="U47" s="513">
        <f>'TABLA GNAL'!FZ33</f>
        <v>0.19817073170731708</v>
      </c>
      <c r="V47" s="513">
        <f>'TABLA GNAL'!GA33</f>
        <v>0</v>
      </c>
      <c r="W47" s="514">
        <f>'TABLA GNAL'!FW33</f>
        <v>0.16021867115222876</v>
      </c>
    </row>
    <row r="48" spans="2:23" s="666" customFormat="1" ht="44" thickBot="1" x14ac:dyDescent="0.4">
      <c r="B48" s="515" t="s">
        <v>181</v>
      </c>
      <c r="C48" s="516">
        <f>'TABLA GNAL'!FL34</f>
        <v>0.48941616877345451</v>
      </c>
      <c r="D48" s="516">
        <f>'TABLA GNAL'!FM34</f>
        <v>0.16105001093366442</v>
      </c>
      <c r="E48" s="517">
        <f>'TABLA GNAL'!FN34</f>
        <v>0.12141657966761661</v>
      </c>
      <c r="F48" s="517">
        <f>'TABLA GNAL'!FO34</f>
        <v>8.9585508309584949E-2</v>
      </c>
      <c r="G48" s="518">
        <f>'TABLA GNAL'!FK34</f>
        <v>0.13853173231567958</v>
      </c>
      <c r="J48" s="672" t="s">
        <v>181</v>
      </c>
      <c r="K48" s="682">
        <f>'TABLA GNAL'!FR34</f>
        <v>0.40404695479811525</v>
      </c>
      <c r="L48" s="682">
        <f>'TABLA GNAL'!FS34</f>
        <v>0.12326736689145341</v>
      </c>
      <c r="M48" s="682">
        <f>'TABLA GNAL'!FT34</f>
        <v>7.5764122062018574E-2</v>
      </c>
      <c r="N48" s="682">
        <f>'TABLA GNAL'!FU34</f>
        <v>0</v>
      </c>
      <c r="O48" s="683">
        <f>'TABLA GNAL'!FQ34</f>
        <v>0.39692155624841285</v>
      </c>
      <c r="R48" s="495" t="s">
        <v>181</v>
      </c>
      <c r="S48" s="519">
        <f>'TABLA GNAL'!FX34</f>
        <v>0.25835499492113656</v>
      </c>
      <c r="T48" s="519">
        <f>'TABLA GNAL'!FY34</f>
        <v>0.35802813126040467</v>
      </c>
      <c r="U48" s="519">
        <f>'TABLA GNAL'!FZ34</f>
        <v>0.19903148895347197</v>
      </c>
      <c r="V48" s="519">
        <f>'TABLA GNAL'!GA34</f>
        <v>0</v>
      </c>
      <c r="W48" s="520">
        <f>'TABLA GNAL'!FW34</f>
        <v>0.18458538486498688</v>
      </c>
    </row>
  </sheetData>
  <mergeCells count="15">
    <mergeCell ref="W42:W43"/>
    <mergeCell ref="S41:W41"/>
    <mergeCell ref="S42:V42"/>
    <mergeCell ref="C1:G1"/>
    <mergeCell ref="C2:H2"/>
    <mergeCell ref="C17:E17"/>
    <mergeCell ref="F17:H17"/>
    <mergeCell ref="C29:E29"/>
    <mergeCell ref="F29:H29"/>
    <mergeCell ref="C42:F42"/>
    <mergeCell ref="G42:G43"/>
    <mergeCell ref="C41:G41"/>
    <mergeCell ref="O42:O43"/>
    <mergeCell ref="K42:N42"/>
    <mergeCell ref="K41:O41"/>
  </mergeCells>
  <pageMargins left="0.7" right="0.7" top="0.75" bottom="0.75" header="0.3" footer="0.3"/>
  <pageSetup orientation="portrait" r:id="rId1"/>
  <ignoredErrors>
    <ignoredError sqref="B6 B21 B33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9" tint="-0.249977111117893"/>
  </sheetPr>
  <dimension ref="B17:X44"/>
  <sheetViews>
    <sheetView topLeftCell="A21" workbookViewId="0">
      <selection activeCell="B39" sqref="B39"/>
    </sheetView>
  </sheetViews>
  <sheetFormatPr baseColWidth="10" defaultRowHeight="14.5" x14ac:dyDescent="0.35"/>
  <cols>
    <col min="3" max="3" width="16.7265625" bestFit="1" customWidth="1"/>
    <col min="13" max="13" width="5.26953125" style="135" customWidth="1"/>
    <col min="15" max="15" width="12" bestFit="1" customWidth="1"/>
  </cols>
  <sheetData>
    <row r="17" spans="2:24" ht="15.5" x14ac:dyDescent="0.35">
      <c r="B17" s="6" t="s">
        <v>6</v>
      </c>
      <c r="C17" s="2" t="s">
        <v>19</v>
      </c>
      <c r="E17" s="1" t="s">
        <v>72</v>
      </c>
      <c r="F17" s="1"/>
    </row>
    <row r="18" spans="2:24" ht="15.5" x14ac:dyDescent="0.35">
      <c r="B18" s="7" t="s">
        <v>7</v>
      </c>
      <c r="C18" s="3" t="s">
        <v>22</v>
      </c>
    </row>
    <row r="19" spans="2:24" x14ac:dyDescent="0.35">
      <c r="B19" s="4"/>
      <c r="C19" s="4"/>
    </row>
    <row r="20" spans="2:24" x14ac:dyDescent="0.35">
      <c r="B20" s="4"/>
      <c r="C20" s="4"/>
    </row>
    <row r="21" spans="2:24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24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24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24" x14ac:dyDescent="0.35">
      <c r="B24" s="14"/>
      <c r="C24" s="20"/>
      <c r="D24" s="160"/>
      <c r="E24" s="31"/>
      <c r="F24" s="31"/>
      <c r="G24" s="31"/>
      <c r="H24" s="31"/>
      <c r="I24" s="161"/>
      <c r="J24" s="9"/>
      <c r="K24" s="41"/>
      <c r="L24" s="42"/>
      <c r="M24" s="195"/>
      <c r="N24" s="87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spans="2:24" x14ac:dyDescent="0.35">
      <c r="B25" s="9"/>
      <c r="C25" s="21"/>
      <c r="D25" s="162"/>
      <c r="E25" s="10"/>
      <c r="F25" s="10"/>
      <c r="G25" s="10"/>
      <c r="H25" s="10"/>
      <c r="I25" s="163"/>
      <c r="J25" s="9"/>
      <c r="K25" s="41"/>
      <c r="L25" s="43"/>
      <c r="M25" s="195"/>
      <c r="N25" s="87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spans="2:24" x14ac:dyDescent="0.35">
      <c r="B26" s="9"/>
      <c r="C26" s="21"/>
      <c r="D26" s="162"/>
      <c r="E26" s="10"/>
      <c r="F26" s="10"/>
      <c r="G26" s="10"/>
      <c r="H26" s="10"/>
      <c r="I26" s="163"/>
      <c r="J26" s="9"/>
      <c r="K26" s="41"/>
      <c r="L26" s="43"/>
      <c r="M26" s="195"/>
      <c r="N26" s="87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spans="2:24" x14ac:dyDescent="0.35">
      <c r="B27" s="9"/>
      <c r="C27" s="21"/>
      <c r="D27" s="162"/>
      <c r="E27" s="10"/>
      <c r="F27" s="10"/>
      <c r="G27" s="10"/>
      <c r="H27" s="10"/>
      <c r="I27" s="163"/>
      <c r="J27" s="9"/>
      <c r="K27" s="41"/>
      <c r="L27" s="43"/>
      <c r="M27" s="195"/>
      <c r="N27" s="87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spans="2:24" x14ac:dyDescent="0.35">
      <c r="B28" s="183"/>
      <c r="C28" s="184">
        <v>35643</v>
      </c>
      <c r="D28" s="185"/>
      <c r="E28" s="186"/>
      <c r="F28" s="186">
        <v>1</v>
      </c>
      <c r="G28" s="186"/>
      <c r="H28" s="186"/>
      <c r="I28" s="187"/>
      <c r="J28" s="451">
        <v>9.7899999999999991</v>
      </c>
      <c r="K28" s="189">
        <v>47.459905094608118</v>
      </c>
      <c r="L28" s="190">
        <v>76.353773676363787</v>
      </c>
      <c r="M28" s="195"/>
      <c r="N28" s="87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spans="2:24" ht="15" thickBot="1" x14ac:dyDescent="0.4">
      <c r="B29" s="9"/>
      <c r="C29" s="21"/>
      <c r="D29" s="164"/>
      <c r="E29" s="10"/>
      <c r="F29" s="10"/>
      <c r="G29" s="10"/>
      <c r="H29" s="10"/>
      <c r="I29" s="163"/>
      <c r="J29" s="9"/>
      <c r="K29" s="41"/>
      <c r="L29" s="43"/>
      <c r="M29" s="195"/>
      <c r="N29" s="87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spans="2:24" x14ac:dyDescent="0.35">
      <c r="B30" s="183"/>
      <c r="C30" s="184">
        <v>38108</v>
      </c>
      <c r="D30" s="185"/>
      <c r="E30" s="186"/>
      <c r="F30" s="186">
        <v>1</v>
      </c>
      <c r="G30" s="186"/>
      <c r="H30" s="186"/>
      <c r="I30" s="187"/>
      <c r="J30" s="183">
        <v>9.76</v>
      </c>
      <c r="K30" s="191">
        <v>49.650000000000006</v>
      </c>
      <c r="L30" s="192">
        <v>78.84</v>
      </c>
      <c r="M30" s="195"/>
      <c r="N30" s="87"/>
      <c r="O30" s="759" t="s">
        <v>159</v>
      </c>
      <c r="P30" s="760"/>
      <c r="Q30" s="761"/>
      <c r="R30" s="82"/>
      <c r="S30" s="82"/>
      <c r="T30" s="82"/>
      <c r="U30" s="82"/>
      <c r="V30" s="82"/>
      <c r="W30" s="82"/>
      <c r="X30" s="82"/>
    </row>
    <row r="31" spans="2:24" ht="15" thickBot="1" x14ac:dyDescent="0.4">
      <c r="B31" s="183"/>
      <c r="C31" s="184">
        <v>39479</v>
      </c>
      <c r="D31" s="185"/>
      <c r="E31" s="186"/>
      <c r="F31" s="186">
        <v>1</v>
      </c>
      <c r="G31" s="186"/>
      <c r="H31" s="186"/>
      <c r="I31" s="187"/>
      <c r="J31" s="183">
        <v>10.18</v>
      </c>
      <c r="K31" s="191">
        <v>50.28806182861328</v>
      </c>
      <c r="L31" s="192">
        <v>79.75</v>
      </c>
      <c r="M31" s="195"/>
      <c r="N31" s="87"/>
      <c r="O31" s="346" t="s">
        <v>13</v>
      </c>
      <c r="P31" s="347" t="s">
        <v>14</v>
      </c>
      <c r="Q31" s="348" t="s">
        <v>15</v>
      </c>
      <c r="R31" s="82"/>
      <c r="S31" s="82"/>
      <c r="T31" s="82"/>
      <c r="U31" s="82"/>
      <c r="V31" s="82"/>
      <c r="W31" s="82"/>
      <c r="X31" s="82"/>
    </row>
    <row r="32" spans="2:24" x14ac:dyDescent="0.35">
      <c r="B32" s="183"/>
      <c r="C32" s="449">
        <v>42145</v>
      </c>
      <c r="D32" s="185"/>
      <c r="E32" s="186"/>
      <c r="F32" s="186">
        <v>1</v>
      </c>
      <c r="G32" s="186"/>
      <c r="H32" s="186"/>
      <c r="I32" s="187"/>
      <c r="J32" s="183">
        <v>11.05</v>
      </c>
      <c r="K32" s="191">
        <v>49.222109000000003</v>
      </c>
      <c r="L32" s="192">
        <v>80.792108999999996</v>
      </c>
      <c r="M32" s="195"/>
      <c r="N32" s="87" t="s">
        <v>160</v>
      </c>
      <c r="O32" s="371">
        <f>(J28-J33)/(($C33-$C28)/365)</f>
        <v>-3.9117491399841255E-2</v>
      </c>
      <c r="P32" s="371">
        <f>(K28-K33)/(($C33-$C28)/365)</f>
        <v>-8.2103022025408284E-2</v>
      </c>
      <c r="Q32" s="371">
        <f>(L28-L33)/(($C33-$C28)/365)</f>
        <v>-0.16111704262069557</v>
      </c>
      <c r="R32" s="82"/>
      <c r="S32" s="82"/>
      <c r="T32" s="82"/>
      <c r="U32" s="82"/>
      <c r="V32" s="82"/>
      <c r="W32" s="82"/>
      <c r="X32" s="82"/>
    </row>
    <row r="33" spans="2:17" x14ac:dyDescent="0.35">
      <c r="B33" s="183"/>
      <c r="C33" s="184">
        <v>43201</v>
      </c>
      <c r="D33" s="185"/>
      <c r="E33" s="186"/>
      <c r="F33" s="186"/>
      <c r="G33" s="186">
        <v>1</v>
      </c>
      <c r="H33" s="186"/>
      <c r="I33" s="187"/>
      <c r="J33" s="183">
        <v>10.6</v>
      </c>
      <c r="K33" s="191">
        <v>49.16</v>
      </c>
      <c r="L33" s="192">
        <v>79.69</v>
      </c>
      <c r="M33" s="82"/>
      <c r="N33" t="s">
        <v>161</v>
      </c>
      <c r="O33" s="454">
        <f>O32/J28</f>
        <v>-3.9956579570828658E-3</v>
      </c>
      <c r="P33" s="454">
        <f>P32/K28</f>
        <v>-1.729944926390844E-3</v>
      </c>
      <c r="Q33" s="454">
        <f>Q32/L28</f>
        <v>-2.1101385676576094E-3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/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/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  <c r="P36" s="370"/>
    </row>
    <row r="37" spans="2:17" x14ac:dyDescent="0.35">
      <c r="B37" s="9"/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/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35" t="s">
        <v>128</v>
      </c>
    </row>
    <row r="41" spans="2:17" x14ac:dyDescent="0.35">
      <c r="C41" s="36" t="s">
        <v>16</v>
      </c>
      <c r="D41" s="37" t="s">
        <v>17</v>
      </c>
    </row>
    <row r="42" spans="2:17" x14ac:dyDescent="0.35">
      <c r="B42" s="27" t="s">
        <v>13</v>
      </c>
      <c r="C42" s="33">
        <f>J33-J28</f>
        <v>0.8100000000000005</v>
      </c>
      <c r="D42" s="38">
        <f>(J28-J33)/J28</f>
        <v>-8.2737487231869314E-2</v>
      </c>
    </row>
    <row r="43" spans="2:17" x14ac:dyDescent="0.35">
      <c r="B43" s="28" t="s">
        <v>14</v>
      </c>
      <c r="C43" s="33">
        <f>K33-K28</f>
        <v>1.7000949053918788</v>
      </c>
      <c r="D43" s="39">
        <f>(K28-K33)/K28</f>
        <v>-3.5821708914142464E-2</v>
      </c>
    </row>
    <row r="44" spans="2:17" x14ac:dyDescent="0.35">
      <c r="B44" s="29" t="s">
        <v>15</v>
      </c>
      <c r="C44" s="34">
        <f>L33-L28</f>
        <v>3.3362263236362111</v>
      </c>
      <c r="D44" s="40">
        <f>(L28-L33)/L28</f>
        <v>-4.369432135440058E-2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9" tint="-0.249977111117893"/>
  </sheetPr>
  <dimension ref="B17:Y44"/>
  <sheetViews>
    <sheetView topLeftCell="A22" workbookViewId="0"/>
  </sheetViews>
  <sheetFormatPr baseColWidth="10" defaultRowHeight="14.5" x14ac:dyDescent="0.35"/>
  <cols>
    <col min="9" max="9" width="14.453125" customWidth="1"/>
    <col min="13" max="13" width="5.26953125" style="135" customWidth="1"/>
    <col min="15" max="15" width="12" bestFit="1" customWidth="1"/>
  </cols>
  <sheetData>
    <row r="17" spans="2:25" ht="15.5" x14ac:dyDescent="0.35">
      <c r="B17" s="6" t="s">
        <v>6</v>
      </c>
      <c r="C17" s="2" t="s">
        <v>19</v>
      </c>
      <c r="E17" s="1" t="s">
        <v>72</v>
      </c>
    </row>
    <row r="18" spans="2:25" ht="15.5" x14ac:dyDescent="0.35">
      <c r="B18" s="7" t="s">
        <v>7</v>
      </c>
      <c r="C18" s="3" t="s">
        <v>20</v>
      </c>
    </row>
    <row r="19" spans="2:25" x14ac:dyDescent="0.35">
      <c r="B19" s="4"/>
      <c r="C19" s="4"/>
    </row>
    <row r="20" spans="2:25" x14ac:dyDescent="0.35">
      <c r="B20" s="4"/>
      <c r="C20" s="4"/>
    </row>
    <row r="21" spans="2:25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</row>
    <row r="22" spans="2:25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  <c r="R22" s="82"/>
      <c r="S22" s="82"/>
      <c r="T22" s="82"/>
      <c r="U22" s="82"/>
      <c r="V22" s="82"/>
      <c r="W22" s="82"/>
      <c r="X22" s="82"/>
      <c r="Y22" s="82"/>
    </row>
    <row r="23" spans="2:25" ht="29.5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  <c r="R23" s="82"/>
      <c r="S23" s="82"/>
      <c r="T23" s="82"/>
      <c r="U23" s="82"/>
      <c r="V23" s="82"/>
      <c r="W23" s="82"/>
      <c r="X23" s="82"/>
      <c r="Y23" s="82"/>
    </row>
    <row r="24" spans="2:25" x14ac:dyDescent="0.35">
      <c r="B24" s="14"/>
      <c r="C24" s="20"/>
      <c r="D24" s="160"/>
      <c r="E24" s="31"/>
      <c r="F24" s="31"/>
      <c r="G24" s="31"/>
      <c r="H24" s="31"/>
      <c r="I24" s="161"/>
      <c r="J24" s="90"/>
      <c r="K24" s="91"/>
      <c r="L24" s="92"/>
      <c r="M24" s="223"/>
      <c r="N24" s="35" t="s">
        <v>21</v>
      </c>
      <c r="O24" s="82"/>
      <c r="P24" s="87"/>
      <c r="Q24" s="194"/>
      <c r="R24" s="138"/>
      <c r="S24" s="138"/>
      <c r="T24" s="138"/>
      <c r="U24" s="138"/>
      <c r="V24" s="138"/>
      <c r="W24" s="195"/>
      <c r="X24" s="196"/>
      <c r="Y24" s="196"/>
    </row>
    <row r="25" spans="2:25" x14ac:dyDescent="0.35">
      <c r="B25" s="183"/>
      <c r="C25" s="184">
        <v>36404</v>
      </c>
      <c r="D25" s="197"/>
      <c r="E25" s="186"/>
      <c r="F25" s="186">
        <v>1</v>
      </c>
      <c r="G25" s="186"/>
      <c r="H25" s="186"/>
      <c r="I25" s="187"/>
      <c r="J25" s="198">
        <v>23.387885000000097</v>
      </c>
      <c r="K25" s="199">
        <v>990.30803900000001</v>
      </c>
      <c r="L25" s="200">
        <v>1083.302623</v>
      </c>
      <c r="M25" s="223"/>
      <c r="N25" s="35" t="s">
        <v>29</v>
      </c>
      <c r="O25" s="82"/>
      <c r="P25" s="87"/>
      <c r="Q25" s="194"/>
      <c r="R25" s="138"/>
      <c r="S25" s="138"/>
      <c r="T25" s="138"/>
      <c r="U25" s="138"/>
      <c r="V25" s="138"/>
      <c r="W25" s="195"/>
      <c r="X25" s="196"/>
      <c r="Y25" s="196"/>
    </row>
    <row r="26" spans="2:25" x14ac:dyDescent="0.35">
      <c r="B26" s="183"/>
      <c r="C26" s="184">
        <v>37347</v>
      </c>
      <c r="D26" s="197"/>
      <c r="E26" s="186"/>
      <c r="F26" s="186">
        <v>1</v>
      </c>
      <c r="G26" s="186"/>
      <c r="H26" s="186"/>
      <c r="I26" s="187"/>
      <c r="J26" s="198">
        <v>21.916593800000101</v>
      </c>
      <c r="K26" s="199">
        <v>999.92620679999868</v>
      </c>
      <c r="L26" s="200">
        <v>1092.1282977999995</v>
      </c>
      <c r="M26" s="223"/>
      <c r="O26" s="82"/>
      <c r="P26" s="87"/>
      <c r="Q26" s="194"/>
      <c r="R26" s="138"/>
      <c r="S26" s="138"/>
      <c r="T26" s="138"/>
      <c r="U26" s="138"/>
      <c r="V26" s="138"/>
      <c r="W26" s="195"/>
      <c r="X26" s="196"/>
      <c r="Y26" s="196"/>
    </row>
    <row r="27" spans="2:25" x14ac:dyDescent="0.35">
      <c r="B27" s="183"/>
      <c r="C27" s="184">
        <v>39873</v>
      </c>
      <c r="D27" s="197"/>
      <c r="E27" s="186"/>
      <c r="F27" s="186">
        <v>1</v>
      </c>
      <c r="G27" s="186"/>
      <c r="H27" s="186"/>
      <c r="I27" s="187"/>
      <c r="J27" s="198">
        <v>22.4140625</v>
      </c>
      <c r="K27" s="199">
        <v>1003.21875</v>
      </c>
      <c r="L27" s="200">
        <v>1094.1015625</v>
      </c>
      <c r="M27" s="223"/>
      <c r="O27" s="82"/>
      <c r="P27" s="87"/>
      <c r="Q27" s="194"/>
      <c r="R27" s="138"/>
      <c r="S27" s="138"/>
      <c r="T27" s="138"/>
      <c r="U27" s="138"/>
      <c r="V27" s="138"/>
      <c r="W27" s="195"/>
      <c r="X27" s="196"/>
      <c r="Y27" s="196"/>
    </row>
    <row r="28" spans="2:25" x14ac:dyDescent="0.35">
      <c r="B28" s="183"/>
      <c r="C28" s="184">
        <v>42664</v>
      </c>
      <c r="D28" s="185"/>
      <c r="E28" s="186"/>
      <c r="F28" s="186"/>
      <c r="G28" s="186">
        <v>1</v>
      </c>
      <c r="H28" s="186">
        <v>1</v>
      </c>
      <c r="I28" s="187"/>
      <c r="J28" s="198">
        <v>25.697838000000001</v>
      </c>
      <c r="K28" s="199">
        <v>1044.0208319999999</v>
      </c>
      <c r="L28" s="200">
        <v>1147.549184</v>
      </c>
      <c r="M28" s="223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</row>
    <row r="29" spans="2:25" ht="15" thickBot="1" x14ac:dyDescent="0.4">
      <c r="B29" s="9"/>
      <c r="C29" s="21"/>
      <c r="D29" s="164"/>
      <c r="E29" s="10"/>
      <c r="F29" s="10"/>
      <c r="G29" s="10"/>
      <c r="H29" s="10"/>
      <c r="I29" s="163"/>
      <c r="J29" s="9"/>
      <c r="K29" s="10"/>
      <c r="L29" s="8"/>
      <c r="M29" s="82"/>
    </row>
    <row r="30" spans="2:25" x14ac:dyDescent="0.35">
      <c r="B30" s="9"/>
      <c r="C30" s="21"/>
      <c r="D30" s="164"/>
      <c r="E30" s="10"/>
      <c r="F30" s="10"/>
      <c r="G30" s="10"/>
      <c r="H30" s="10"/>
      <c r="I30" s="163"/>
      <c r="J30" s="9"/>
      <c r="K30" s="10"/>
      <c r="L30" s="8"/>
      <c r="M30" s="82"/>
      <c r="O30" s="759" t="s">
        <v>159</v>
      </c>
      <c r="P30" s="760"/>
      <c r="Q30" s="761"/>
    </row>
    <row r="31" spans="2:25" ht="15" thickBot="1" x14ac:dyDescent="0.4">
      <c r="B31" s="9"/>
      <c r="C31" s="21"/>
      <c r="D31" s="164"/>
      <c r="E31" s="10"/>
      <c r="F31" s="10"/>
      <c r="G31" s="10"/>
      <c r="H31" s="10"/>
      <c r="I31" s="163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25" x14ac:dyDescent="0.35">
      <c r="B32" s="9"/>
      <c r="C32" s="21"/>
      <c r="D32" s="164"/>
      <c r="E32" s="10"/>
      <c r="F32" s="10"/>
      <c r="G32" s="10"/>
      <c r="H32" s="10"/>
      <c r="I32" s="163"/>
      <c r="J32" s="9"/>
      <c r="K32" s="10"/>
      <c r="L32" s="8"/>
      <c r="M32" s="82"/>
      <c r="N32" t="s">
        <v>160</v>
      </c>
      <c r="O32" s="456">
        <f>(J25-J28)/(($C28-$C25)/365)</f>
        <v>-0.13468575798721485</v>
      </c>
      <c r="P32" s="456">
        <f>(K25-K28)/(($C28-$C25)/365)</f>
        <v>-3.1318162052715608</v>
      </c>
      <c r="Q32" s="456">
        <f>(L25-L28)/(($C28-$C25)/365)</f>
        <v>-3.7460055535143728</v>
      </c>
    </row>
    <row r="33" spans="2:17" x14ac:dyDescent="0.35">
      <c r="B33" s="9"/>
      <c r="C33" s="21"/>
      <c r="D33" s="164"/>
      <c r="E33" s="10"/>
      <c r="F33" s="10"/>
      <c r="G33" s="10"/>
      <c r="H33" s="10"/>
      <c r="I33" s="163"/>
      <c r="J33" s="9"/>
      <c r="K33" s="10"/>
      <c r="L33" s="8"/>
      <c r="M33" s="82"/>
      <c r="N33" t="s">
        <v>161</v>
      </c>
      <c r="O33" s="454">
        <f>O32/J25</f>
        <v>-5.7587831472240567E-3</v>
      </c>
      <c r="P33" s="454">
        <f>P32/K25</f>
        <v>-3.1624667092817176E-3</v>
      </c>
      <c r="Q33" s="454">
        <f t="shared" ref="Q33" si="0">Q32/L25</f>
        <v>-3.4579493061140431E-3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/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/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/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/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35" t="s">
        <v>128</v>
      </c>
    </row>
    <row r="41" spans="2:17" x14ac:dyDescent="0.35">
      <c r="C41" s="36" t="s">
        <v>16</v>
      </c>
      <c r="D41" s="37" t="s">
        <v>17</v>
      </c>
    </row>
    <row r="42" spans="2:17" x14ac:dyDescent="0.35">
      <c r="B42" s="27" t="s">
        <v>13</v>
      </c>
      <c r="C42" s="33">
        <f>J28-J25</f>
        <v>2.3099529999999042</v>
      </c>
      <c r="D42" s="38">
        <f>(J25-J28)/J25</f>
        <v>-9.8767075346911218E-2</v>
      </c>
    </row>
    <row r="43" spans="2:17" x14ac:dyDescent="0.35">
      <c r="B43" s="28" t="s">
        <v>14</v>
      </c>
      <c r="C43" s="33">
        <f>K28-K25</f>
        <v>53.71279299999992</v>
      </c>
      <c r="D43" s="39">
        <f>(K25-K28)/K25</f>
        <v>-5.4238470137270005E-2</v>
      </c>
    </row>
    <row r="44" spans="2:17" x14ac:dyDescent="0.35">
      <c r="B44" s="29" t="s">
        <v>15</v>
      </c>
      <c r="C44" s="34">
        <f>L28-L25</f>
        <v>64.246560999999929</v>
      </c>
      <c r="D44" s="40">
        <f>(L25-L28)/L25</f>
        <v>-5.930619905828468E-2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9" tint="-0.249977111117893"/>
  </sheetPr>
  <dimension ref="B17:Y44"/>
  <sheetViews>
    <sheetView topLeftCell="C19" workbookViewId="0">
      <selection activeCell="N34" sqref="N34"/>
    </sheetView>
  </sheetViews>
  <sheetFormatPr baseColWidth="10" defaultRowHeight="14.5" x14ac:dyDescent="0.35"/>
  <cols>
    <col min="3" max="3" width="17.1796875" customWidth="1"/>
    <col min="13" max="13" width="5.26953125" style="135" customWidth="1"/>
    <col min="15" max="15" width="12" bestFit="1" customWidth="1"/>
  </cols>
  <sheetData>
    <row r="17" spans="2:25" ht="15.5" x14ac:dyDescent="0.35">
      <c r="B17" s="6" t="s">
        <v>6</v>
      </c>
      <c r="C17" s="2" t="s">
        <v>19</v>
      </c>
      <c r="E17" s="1" t="s">
        <v>72</v>
      </c>
    </row>
    <row r="18" spans="2:25" ht="15.5" x14ac:dyDescent="0.35">
      <c r="B18" s="7" t="s">
        <v>7</v>
      </c>
      <c r="C18" s="3" t="s">
        <v>23</v>
      </c>
    </row>
    <row r="19" spans="2:25" x14ac:dyDescent="0.35">
      <c r="B19" s="4"/>
      <c r="C19" s="4"/>
    </row>
    <row r="20" spans="2:25" x14ac:dyDescent="0.35">
      <c r="B20" s="4"/>
      <c r="C20" s="4"/>
    </row>
    <row r="21" spans="2:25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25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25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</row>
    <row r="24" spans="2:25" x14ac:dyDescent="0.35">
      <c r="B24" s="14"/>
      <c r="C24" s="20"/>
      <c r="D24" s="160"/>
      <c r="E24" s="15"/>
      <c r="F24" s="15"/>
      <c r="G24" s="15"/>
      <c r="H24" s="15"/>
      <c r="I24" s="23"/>
      <c r="J24" s="9"/>
      <c r="K24" s="91"/>
      <c r="L24" s="92"/>
      <c r="M24" s="223"/>
      <c r="N24" s="35"/>
      <c r="O24" s="82"/>
      <c r="P24" s="87"/>
      <c r="Q24" s="194"/>
      <c r="R24" s="138"/>
      <c r="S24" s="138"/>
      <c r="T24" s="138"/>
      <c r="U24" s="138"/>
      <c r="V24" s="138"/>
      <c r="W24" s="223"/>
      <c r="X24" s="223"/>
      <c r="Y24" s="223"/>
    </row>
    <row r="25" spans="2:25" x14ac:dyDescent="0.35">
      <c r="B25" s="9"/>
      <c r="C25" s="21"/>
      <c r="D25" s="17"/>
      <c r="E25" s="143"/>
      <c r="F25" s="137"/>
      <c r="G25" s="143"/>
      <c r="H25" s="143"/>
      <c r="I25" s="24"/>
      <c r="J25" s="90"/>
      <c r="K25" s="91"/>
      <c r="L25" s="92"/>
      <c r="M25" s="223"/>
      <c r="O25" s="82"/>
      <c r="P25" s="87"/>
      <c r="Q25" s="194"/>
      <c r="R25" s="138"/>
      <c r="S25" s="138"/>
      <c r="T25" s="138"/>
      <c r="U25" s="138"/>
      <c r="V25" s="138"/>
      <c r="W25" s="223"/>
      <c r="X25" s="223"/>
      <c r="Y25" s="223"/>
    </row>
    <row r="26" spans="2:25" x14ac:dyDescent="0.35">
      <c r="B26" s="183"/>
      <c r="C26" s="184">
        <v>36039</v>
      </c>
      <c r="D26" s="206"/>
      <c r="E26" s="207"/>
      <c r="F26" s="207">
        <v>1</v>
      </c>
      <c r="G26" s="207"/>
      <c r="H26" s="207"/>
      <c r="I26" s="208"/>
      <c r="J26" s="198">
        <v>51.134391859375</v>
      </c>
      <c r="K26" s="199">
        <v>137.59169182031252</v>
      </c>
      <c r="L26" s="200">
        <v>236.32225700000001</v>
      </c>
      <c r="M26" s="223"/>
      <c r="O26" s="82"/>
      <c r="P26" s="87"/>
      <c r="Q26" s="194"/>
      <c r="R26" s="138"/>
      <c r="S26" s="138"/>
      <c r="T26" s="138"/>
      <c r="U26" s="138"/>
      <c r="V26" s="138"/>
      <c r="W26" s="223"/>
      <c r="X26" s="223"/>
      <c r="Y26" s="223"/>
    </row>
    <row r="27" spans="2:25" x14ac:dyDescent="0.35">
      <c r="B27" s="183"/>
      <c r="C27" s="184">
        <v>37165</v>
      </c>
      <c r="D27" s="206"/>
      <c r="E27" s="207"/>
      <c r="F27" s="207">
        <v>1</v>
      </c>
      <c r="G27" s="207"/>
      <c r="H27" s="207"/>
      <c r="I27" s="208"/>
      <c r="J27" s="198">
        <v>53.228999999999999</v>
      </c>
      <c r="K27" s="199">
        <v>139.21800000000002</v>
      </c>
      <c r="L27" s="200">
        <v>241.39400000000001</v>
      </c>
      <c r="M27" s="223"/>
      <c r="O27" s="82"/>
      <c r="P27" s="87"/>
      <c r="Q27" s="194"/>
      <c r="R27" s="138"/>
      <c r="S27" s="138"/>
      <c r="T27" s="138"/>
      <c r="U27" s="138"/>
      <c r="V27" s="138"/>
      <c r="W27" s="223"/>
      <c r="X27" s="223"/>
      <c r="Y27" s="223"/>
    </row>
    <row r="28" spans="2:25" x14ac:dyDescent="0.35">
      <c r="B28" s="9"/>
      <c r="C28" s="21"/>
      <c r="D28" s="18"/>
      <c r="E28" s="143"/>
      <c r="F28" s="143"/>
      <c r="G28" s="143"/>
      <c r="H28" s="143"/>
      <c r="I28" s="24"/>
      <c r="J28" s="90"/>
      <c r="K28" s="91"/>
      <c r="L28" s="92"/>
      <c r="M28" s="223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</row>
    <row r="29" spans="2:25" ht="15" thickBot="1" x14ac:dyDescent="0.4">
      <c r="B29" s="9"/>
      <c r="C29" s="21"/>
      <c r="D29" s="18"/>
      <c r="E29" s="143"/>
      <c r="F29" s="143"/>
      <c r="G29" s="143"/>
      <c r="H29" s="143"/>
      <c r="I29" s="24"/>
      <c r="J29" s="90"/>
      <c r="K29" s="91"/>
      <c r="L29" s="92"/>
      <c r="M29" s="223"/>
    </row>
    <row r="30" spans="2:25" x14ac:dyDescent="0.35">
      <c r="B30" s="183"/>
      <c r="C30" s="449">
        <v>39661</v>
      </c>
      <c r="D30" s="209"/>
      <c r="E30" s="207"/>
      <c r="F30" s="207">
        <v>1</v>
      </c>
      <c r="G30" s="207"/>
      <c r="H30" s="207"/>
      <c r="I30" s="208"/>
      <c r="J30" s="198">
        <v>50.9078369140625</v>
      </c>
      <c r="K30" s="199">
        <v>137.83447265625</v>
      </c>
      <c r="L30" s="200">
        <v>236.3516845703125</v>
      </c>
      <c r="M30" s="223"/>
      <c r="O30" s="759" t="s">
        <v>159</v>
      </c>
      <c r="P30" s="760"/>
      <c r="Q30" s="761"/>
    </row>
    <row r="31" spans="2:25" ht="15" thickBot="1" x14ac:dyDescent="0.4">
      <c r="B31" s="9"/>
      <c r="C31" s="21"/>
      <c r="D31" s="18"/>
      <c r="E31" s="143"/>
      <c r="F31" s="143"/>
      <c r="G31" s="143"/>
      <c r="H31" s="143"/>
      <c r="I31" s="24"/>
      <c r="J31" s="90"/>
      <c r="K31" s="91"/>
      <c r="L31" s="92"/>
      <c r="M31" s="223"/>
      <c r="O31" s="346" t="s">
        <v>13</v>
      </c>
      <c r="P31" s="347" t="s">
        <v>14</v>
      </c>
      <c r="Q31" s="348" t="s">
        <v>15</v>
      </c>
    </row>
    <row r="32" spans="2:25" x14ac:dyDescent="0.35">
      <c r="B32" s="183"/>
      <c r="C32" s="184">
        <v>41974</v>
      </c>
      <c r="D32" s="209"/>
      <c r="E32" s="207"/>
      <c r="F32" s="207">
        <v>1</v>
      </c>
      <c r="G32" s="207"/>
      <c r="H32" s="207"/>
      <c r="I32" s="208"/>
      <c r="J32" s="198">
        <v>55.429468749999998</v>
      </c>
      <c r="K32" s="450">
        <v>137.06</v>
      </c>
      <c r="L32" s="200">
        <v>241.3</v>
      </c>
      <c r="M32" s="223"/>
      <c r="N32" s="73" t="s">
        <v>160</v>
      </c>
      <c r="O32" s="455">
        <f>(J26-J33)/(($C33-$C26)/365)</f>
        <v>-1.7963439639429261E-2</v>
      </c>
      <c r="P32" s="455">
        <f>(K26-K33)/(($C33-$C26)/365)</f>
        <v>-5.6830776413250898E-2</v>
      </c>
      <c r="Q32" s="455">
        <f>(L26-L33)/(($C33-$C26)/365)</f>
        <v>-9.0759459512578189E-2</v>
      </c>
    </row>
    <row r="33" spans="2:17" x14ac:dyDescent="0.35">
      <c r="B33" s="183"/>
      <c r="C33" s="184">
        <v>43671</v>
      </c>
      <c r="D33" s="209"/>
      <c r="E33" s="225"/>
      <c r="F33" s="225"/>
      <c r="G33" s="225">
        <v>1</v>
      </c>
      <c r="H33" s="225"/>
      <c r="I33" s="208"/>
      <c r="J33" s="198">
        <v>51.51</v>
      </c>
      <c r="K33" s="415">
        <v>138.78</v>
      </c>
      <c r="L33" s="200">
        <v>238.22</v>
      </c>
      <c r="M33" s="82"/>
      <c r="N33" s="73" t="s">
        <v>161</v>
      </c>
      <c r="O33" s="453">
        <f>O32/J26</f>
        <v>-3.5129858762827617E-4</v>
      </c>
      <c r="P33" s="453">
        <f>P32/K26</f>
        <v>-4.1303930245634954E-4</v>
      </c>
      <c r="Q33" s="453">
        <f t="shared" ref="Q33" si="0">Q32/L26</f>
        <v>-3.8404956293464217E-4</v>
      </c>
    </row>
    <row r="34" spans="2:17" x14ac:dyDescent="0.35">
      <c r="B34" s="9"/>
      <c r="C34" s="21"/>
      <c r="D34" s="164"/>
      <c r="E34" s="10"/>
      <c r="F34" s="10"/>
      <c r="G34" s="10"/>
      <c r="H34" s="10"/>
      <c r="I34" s="163"/>
      <c r="J34" s="9"/>
      <c r="K34" s="10"/>
      <c r="L34" s="8"/>
      <c r="M34" s="82"/>
    </row>
    <row r="35" spans="2:17" x14ac:dyDescent="0.35">
      <c r="B35" s="9"/>
      <c r="C35" s="21"/>
      <c r="D35" s="164"/>
      <c r="E35" s="10"/>
      <c r="F35" s="10"/>
      <c r="G35" s="10"/>
      <c r="H35" s="10"/>
      <c r="I35" s="163"/>
      <c r="J35" s="9"/>
      <c r="K35" s="10"/>
      <c r="L35" s="8"/>
      <c r="M35" s="82"/>
    </row>
    <row r="36" spans="2:17" x14ac:dyDescent="0.35">
      <c r="B36" s="9"/>
      <c r="C36" s="21"/>
      <c r="D36" s="164"/>
      <c r="E36" s="10"/>
      <c r="F36" s="10"/>
      <c r="G36" s="10"/>
      <c r="H36" s="10"/>
      <c r="I36" s="163"/>
      <c r="J36" s="9"/>
      <c r="K36" s="10"/>
      <c r="L36" s="8"/>
      <c r="M36" s="82"/>
    </row>
    <row r="37" spans="2:17" x14ac:dyDescent="0.35">
      <c r="B37" s="9"/>
      <c r="C37" s="21"/>
      <c r="D37" s="164"/>
      <c r="E37" s="10"/>
      <c r="F37" s="10"/>
      <c r="G37" s="10"/>
      <c r="H37" s="10"/>
      <c r="I37" s="163"/>
      <c r="J37" s="9"/>
      <c r="K37" s="10"/>
      <c r="L37" s="8"/>
      <c r="M37" s="82"/>
    </row>
    <row r="38" spans="2:17" x14ac:dyDescent="0.35">
      <c r="B38" s="11"/>
      <c r="C38" s="22"/>
      <c r="D38" s="165"/>
      <c r="E38" s="122"/>
      <c r="F38" s="122"/>
      <c r="G38" s="122"/>
      <c r="H38" s="122"/>
      <c r="I38" s="166"/>
      <c r="J38" s="11"/>
      <c r="K38" s="12"/>
      <c r="L38" s="13"/>
      <c r="M38" s="82"/>
    </row>
    <row r="40" spans="2:17" ht="15.5" x14ac:dyDescent="0.35">
      <c r="B40" s="26" t="s">
        <v>18</v>
      </c>
      <c r="F40" s="193"/>
      <c r="G40" s="35" t="s">
        <v>128</v>
      </c>
    </row>
    <row r="41" spans="2:17" x14ac:dyDescent="0.35">
      <c r="C41" s="36" t="s">
        <v>16</v>
      </c>
      <c r="D41" s="37" t="s">
        <v>17</v>
      </c>
    </row>
    <row r="42" spans="2:17" x14ac:dyDescent="0.35">
      <c r="B42" s="27" t="s">
        <v>13</v>
      </c>
      <c r="C42" s="33">
        <f>J33-J26</f>
        <v>0.37560814062499759</v>
      </c>
      <c r="D42" s="38">
        <f>+(J26-J33)/J26</f>
        <v>-7.3455090980246683E-3</v>
      </c>
      <c r="F42" s="4" t="s">
        <v>30</v>
      </c>
    </row>
    <row r="43" spans="2:17" x14ac:dyDescent="0.35">
      <c r="B43" s="28" t="s">
        <v>14</v>
      </c>
      <c r="C43" s="33">
        <f>K26-K33</f>
        <v>-1.1883081796874819</v>
      </c>
      <c r="D43" s="39">
        <f>(K26-K33)/K26</f>
        <v>-8.6364820721831787E-3</v>
      </c>
    </row>
    <row r="44" spans="2:17" x14ac:dyDescent="0.35">
      <c r="B44" s="29" t="s">
        <v>15</v>
      </c>
      <c r="C44" s="34">
        <f>L33-L26</f>
        <v>1.8977429999999913</v>
      </c>
      <c r="D44" s="40">
        <f>(L26-L33)/L26</f>
        <v>-8.030318532375862E-3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theme="9" tint="-0.249977111117893"/>
  </sheetPr>
  <dimension ref="B17:Q43"/>
  <sheetViews>
    <sheetView workbookViewId="0"/>
  </sheetViews>
  <sheetFormatPr baseColWidth="10" defaultColWidth="10.7265625" defaultRowHeight="14.5" x14ac:dyDescent="0.35"/>
  <cols>
    <col min="1" max="1" width="4.26953125" style="137" customWidth="1"/>
    <col min="2" max="2" width="10.7265625" style="137"/>
    <col min="3" max="3" width="30.453125" style="137" bestFit="1" customWidth="1"/>
    <col min="4" max="8" width="11.54296875" style="137" customWidth="1"/>
    <col min="9" max="9" width="13.7265625" style="137" customWidth="1"/>
    <col min="10" max="12" width="10.7265625" style="137"/>
    <col min="13" max="13" width="5.26953125" style="5" customWidth="1"/>
    <col min="14" max="14" width="10.7265625" style="137"/>
    <col min="15" max="15" width="12" style="137" bestFit="1" customWidth="1"/>
    <col min="16" max="16384" width="10.7265625" style="137"/>
  </cols>
  <sheetData>
    <row r="17" spans="2:17" ht="15.5" x14ac:dyDescent="0.35">
      <c r="B17" s="6" t="s">
        <v>6</v>
      </c>
      <c r="C17" s="2" t="s">
        <v>19</v>
      </c>
      <c r="E17" s="137" t="s">
        <v>72</v>
      </c>
    </row>
    <row r="18" spans="2:17" ht="15.5" x14ac:dyDescent="0.35">
      <c r="B18" s="7" t="s">
        <v>7</v>
      </c>
      <c r="C18" s="3" t="s">
        <v>24</v>
      </c>
    </row>
    <row r="19" spans="2:17" s="5" customFormat="1" x14ac:dyDescent="0.35">
      <c r="B19" s="4"/>
      <c r="C19" s="4"/>
    </row>
    <row r="20" spans="2:17" s="5" customFormat="1" ht="10.15" customHeight="1" thickBot="1" x14ac:dyDescent="0.4">
      <c r="B20" s="4"/>
      <c r="C20" s="4"/>
    </row>
    <row r="21" spans="2:17" s="5" customFormat="1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29.5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183"/>
      <c r="C24" s="184">
        <v>36465</v>
      </c>
      <c r="D24" s="209"/>
      <c r="E24" s="225"/>
      <c r="F24" s="225">
        <v>1</v>
      </c>
      <c r="G24" s="225"/>
      <c r="H24" s="225"/>
      <c r="I24" s="208"/>
      <c r="J24" s="198">
        <v>5.9175159315927885</v>
      </c>
      <c r="K24" s="199">
        <v>90.711804000000001</v>
      </c>
      <c r="L24" s="200">
        <v>101.32</v>
      </c>
      <c r="M24" s="223"/>
    </row>
    <row r="25" spans="2:17" x14ac:dyDescent="0.35">
      <c r="B25" s="183"/>
      <c r="C25" s="184">
        <v>38139</v>
      </c>
      <c r="D25" s="209"/>
      <c r="E25" s="225"/>
      <c r="F25" s="225">
        <v>1</v>
      </c>
      <c r="G25" s="225"/>
      <c r="H25" s="225"/>
      <c r="I25" s="208"/>
      <c r="J25" s="198">
        <v>6.3343404000000376</v>
      </c>
      <c r="K25" s="199">
        <v>93.537009999873874</v>
      </c>
      <c r="L25" s="200">
        <v>105.41969999987388</v>
      </c>
      <c r="M25" s="223"/>
    </row>
    <row r="26" spans="2:17" x14ac:dyDescent="0.35">
      <c r="B26" s="183"/>
      <c r="C26" s="184">
        <v>39508</v>
      </c>
      <c r="D26" s="209"/>
      <c r="E26" s="225"/>
      <c r="F26" s="225">
        <v>1</v>
      </c>
      <c r="G26" s="225"/>
      <c r="H26" s="225"/>
      <c r="I26" s="208"/>
      <c r="J26" s="198">
        <v>6.487548828125</v>
      </c>
      <c r="K26" s="199">
        <v>95.53125</v>
      </c>
      <c r="L26" s="200">
        <v>107.030517578125</v>
      </c>
      <c r="M26" s="223"/>
    </row>
    <row r="27" spans="2:17" x14ac:dyDescent="0.35">
      <c r="B27" s="183"/>
      <c r="C27" s="184">
        <v>41949</v>
      </c>
      <c r="D27" s="209"/>
      <c r="E27" s="225"/>
      <c r="F27" s="225">
        <v>1</v>
      </c>
      <c r="G27" s="225"/>
      <c r="H27" s="225"/>
      <c r="I27" s="208"/>
      <c r="J27" s="198">
        <v>8.0706812499999998</v>
      </c>
      <c r="K27" s="199">
        <v>96.579171874999986</v>
      </c>
      <c r="L27" s="200">
        <v>110.2880625</v>
      </c>
      <c r="M27" s="223"/>
    </row>
    <row r="28" spans="2:17" x14ac:dyDescent="0.35">
      <c r="B28" s="152"/>
      <c r="C28" s="50"/>
      <c r="D28" s="18"/>
      <c r="E28" s="143"/>
      <c r="F28" s="143"/>
      <c r="G28" s="143"/>
      <c r="H28" s="143"/>
      <c r="I28" s="24"/>
      <c r="J28" s="9"/>
      <c r="K28" s="10"/>
      <c r="L28" s="8"/>
      <c r="M28" s="82"/>
    </row>
    <row r="29" spans="2:17" ht="15" thickBot="1" x14ac:dyDescent="0.4">
      <c r="B29" s="152"/>
      <c r="C29" s="50"/>
      <c r="D29" s="18"/>
      <c r="E29" s="143"/>
      <c r="F29" s="143"/>
      <c r="G29" s="143"/>
      <c r="H29" s="143"/>
      <c r="I29" s="24"/>
      <c r="J29" s="9"/>
      <c r="K29" s="10"/>
      <c r="L29" s="8"/>
      <c r="M29" s="82"/>
    </row>
    <row r="30" spans="2:17" x14ac:dyDescent="0.35">
      <c r="B30" s="152"/>
      <c r="C30" s="50"/>
      <c r="D30" s="18"/>
      <c r="E30" s="143"/>
      <c r="F30" s="143"/>
      <c r="G30" s="143"/>
      <c r="H30" s="143"/>
      <c r="I30" s="24"/>
      <c r="J30" s="9"/>
      <c r="K30" s="10"/>
      <c r="L30" s="8"/>
      <c r="M30" s="82"/>
      <c r="O30" s="759" t="s">
        <v>159</v>
      </c>
      <c r="P30" s="760"/>
      <c r="Q30" s="761"/>
    </row>
    <row r="31" spans="2:17" ht="15" thickBot="1" x14ac:dyDescent="0.4">
      <c r="B31" s="152"/>
      <c r="C31" s="50"/>
      <c r="D31" s="18"/>
      <c r="E31" s="143"/>
      <c r="F31" s="143"/>
      <c r="G31" s="143"/>
      <c r="H31" s="143"/>
      <c r="I31" s="24"/>
      <c r="J31" s="9"/>
      <c r="K31" s="10"/>
      <c r="L31" s="8"/>
      <c r="M31" s="82"/>
      <c r="O31" s="346" t="s">
        <v>13</v>
      </c>
      <c r="P31" s="347" t="s">
        <v>14</v>
      </c>
      <c r="Q31" s="348" t="s">
        <v>15</v>
      </c>
    </row>
    <row r="32" spans="2:17" x14ac:dyDescent="0.35">
      <c r="B32" s="152"/>
      <c r="C32" s="50"/>
      <c r="D32" s="18"/>
      <c r="E32" s="143"/>
      <c r="F32" s="143"/>
      <c r="G32" s="143"/>
      <c r="H32" s="143"/>
      <c r="I32" s="24"/>
      <c r="J32" s="9"/>
      <c r="K32" s="10"/>
      <c r="L32" s="8"/>
      <c r="M32" s="82"/>
      <c r="N32" s="137" t="s">
        <v>160</v>
      </c>
      <c r="O32" s="363">
        <f>(J24-J27)/(($C27-$C24)/365)</f>
        <v>-0.14330877848625675</v>
      </c>
      <c r="P32" s="363">
        <f>(K24-K27)/(($C27-$C24)/365)</f>
        <v>-0.39051591436451394</v>
      </c>
      <c r="Q32" s="363">
        <f>(L24-L27)/(($C27-$C24)/365)</f>
        <v>-0.59688964487600304</v>
      </c>
    </row>
    <row r="33" spans="2:17" x14ac:dyDescent="0.35">
      <c r="B33" s="152"/>
      <c r="C33" s="50"/>
      <c r="D33" s="18"/>
      <c r="E33" s="143"/>
      <c r="F33" s="143"/>
      <c r="G33" s="143"/>
      <c r="H33" s="143"/>
      <c r="I33" s="24"/>
      <c r="J33" s="9"/>
      <c r="K33" s="10"/>
      <c r="L33" s="8"/>
      <c r="M33" s="82"/>
      <c r="N33" s="137" t="s">
        <v>161</v>
      </c>
      <c r="O33" s="364">
        <f>O32/J24</f>
        <v>-2.4217725840187648E-2</v>
      </c>
      <c r="P33" s="364">
        <f t="shared" ref="P33" si="0">P32/K24</f>
        <v>-4.3050176178230778E-3</v>
      </c>
      <c r="Q33" s="364">
        <f>Q32/L24</f>
        <v>-5.8911334867351268E-3</v>
      </c>
    </row>
    <row r="34" spans="2:17" x14ac:dyDescent="0.35">
      <c r="B34" s="152"/>
      <c r="C34" s="50"/>
      <c r="D34" s="18"/>
      <c r="E34" s="143"/>
      <c r="F34" s="143"/>
      <c r="G34" s="143"/>
      <c r="H34" s="143"/>
      <c r="I34" s="24"/>
      <c r="J34" s="9"/>
      <c r="K34" s="10"/>
      <c r="L34" s="8"/>
      <c r="M34" s="82"/>
    </row>
    <row r="35" spans="2:17" x14ac:dyDescent="0.35">
      <c r="B35" s="152"/>
      <c r="C35" s="50"/>
      <c r="D35" s="18"/>
      <c r="E35" s="143"/>
      <c r="F35" s="143"/>
      <c r="G35" s="143"/>
      <c r="H35" s="143"/>
      <c r="I35" s="24"/>
      <c r="J35" s="9"/>
      <c r="K35" s="10"/>
      <c r="L35" s="8"/>
      <c r="M35" s="82"/>
    </row>
    <row r="36" spans="2:17" x14ac:dyDescent="0.35">
      <c r="B36" s="152"/>
      <c r="C36" s="50"/>
      <c r="D36" s="18"/>
      <c r="E36" s="143"/>
      <c r="F36" s="143"/>
      <c r="G36" s="143"/>
      <c r="H36" s="143"/>
      <c r="I36" s="24"/>
      <c r="J36" s="9"/>
      <c r="K36" s="10"/>
      <c r="L36" s="8"/>
      <c r="M36" s="82"/>
    </row>
    <row r="37" spans="2:17" ht="15" thickBot="1" x14ac:dyDescent="0.4">
      <c r="B37" s="47"/>
      <c r="C37" s="51"/>
      <c r="D37" s="19"/>
      <c r="E37" s="12"/>
      <c r="F37" s="12"/>
      <c r="G37" s="12"/>
      <c r="H37" s="12"/>
      <c r="I37" s="25"/>
      <c r="J37" s="11"/>
      <c r="K37" s="12"/>
      <c r="L37" s="13"/>
      <c r="M37" s="82"/>
    </row>
    <row r="39" spans="2:17" ht="16" thickBot="1" x14ac:dyDescent="0.4">
      <c r="B39" s="26" t="s">
        <v>18</v>
      </c>
    </row>
    <row r="40" spans="2:17" ht="15" thickBot="1" x14ac:dyDescent="0.4">
      <c r="C40" s="36" t="s">
        <v>16</v>
      </c>
      <c r="D40" s="37" t="s">
        <v>17</v>
      </c>
    </row>
    <row r="41" spans="2:17" x14ac:dyDescent="0.35">
      <c r="B41" s="27" t="s">
        <v>13</v>
      </c>
      <c r="C41" s="33">
        <f>J27-J24</f>
        <v>2.1531653184072113</v>
      </c>
      <c r="D41" s="38">
        <f>(J24-J27)/J24</f>
        <v>-0.36386303700709333</v>
      </c>
    </row>
    <row r="42" spans="2:17" x14ac:dyDescent="0.35">
      <c r="B42" s="28" t="s">
        <v>14</v>
      </c>
      <c r="C42" s="33">
        <f>K27-K24</f>
        <v>5.8673678749999851</v>
      </c>
      <c r="D42" s="39">
        <f>(K24-K27)/K24</f>
        <v>-6.4681415386689756E-2</v>
      </c>
    </row>
    <row r="43" spans="2:17" ht="15" thickBot="1" x14ac:dyDescent="0.4">
      <c r="B43" s="29" t="s">
        <v>15</v>
      </c>
      <c r="C43" s="34">
        <f>L27-L24</f>
        <v>8.968062500000002</v>
      </c>
      <c r="D43" s="40">
        <f>(L24-L27)/L24</f>
        <v>-8.8512263126727234E-2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tabColor theme="9" tint="-0.249977111117893"/>
  </sheetPr>
  <dimension ref="B17:Q42"/>
  <sheetViews>
    <sheetView topLeftCell="A19" workbookViewId="0"/>
  </sheetViews>
  <sheetFormatPr baseColWidth="10" defaultRowHeight="14.5" x14ac:dyDescent="0.35"/>
  <cols>
    <col min="3" max="3" width="20.7265625" customWidth="1"/>
    <col min="13" max="13" width="5.26953125" style="135" customWidth="1"/>
    <col min="15" max="15" width="12" bestFit="1" customWidth="1"/>
  </cols>
  <sheetData>
    <row r="17" spans="2:17" ht="15.5" x14ac:dyDescent="0.35">
      <c r="B17" s="6" t="s">
        <v>6</v>
      </c>
      <c r="C17" s="2" t="s">
        <v>19</v>
      </c>
      <c r="E17" s="1" t="s">
        <v>72</v>
      </c>
    </row>
    <row r="18" spans="2:17" ht="15.5" x14ac:dyDescent="0.35">
      <c r="B18" s="7" t="s">
        <v>7</v>
      </c>
      <c r="C18" s="3" t="s">
        <v>25</v>
      </c>
    </row>
    <row r="19" spans="2:17" x14ac:dyDescent="0.35">
      <c r="B19" s="4"/>
      <c r="C19" s="4"/>
    </row>
    <row r="20" spans="2:17" x14ac:dyDescent="0.35">
      <c r="B20" s="4"/>
      <c r="C20" s="4"/>
    </row>
    <row r="21" spans="2:17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17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17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17" x14ac:dyDescent="0.35">
      <c r="B24" s="216"/>
      <c r="C24" s="217"/>
      <c r="D24" s="160"/>
      <c r="E24" s="172"/>
      <c r="F24" s="172"/>
      <c r="G24" s="172"/>
      <c r="H24" s="172"/>
      <c r="I24" s="173"/>
      <c r="J24" s="114"/>
      <c r="K24" s="115"/>
      <c r="L24" s="116"/>
      <c r="M24" s="223"/>
      <c r="N24" s="35"/>
    </row>
    <row r="25" spans="2:17" x14ac:dyDescent="0.35">
      <c r="B25" s="218"/>
      <c r="C25" s="217"/>
      <c r="D25" s="164"/>
      <c r="E25" s="175"/>
      <c r="F25" s="175"/>
      <c r="G25" s="175"/>
      <c r="H25" s="175"/>
      <c r="I25" s="176"/>
      <c r="J25" s="114"/>
      <c r="K25" s="115"/>
      <c r="L25" s="116"/>
      <c r="M25" s="223"/>
    </row>
    <row r="26" spans="2:17" x14ac:dyDescent="0.35">
      <c r="B26" s="218"/>
      <c r="C26" s="217"/>
      <c r="D26" s="164"/>
      <c r="E26" s="175"/>
      <c r="F26" s="174"/>
      <c r="G26" s="175"/>
      <c r="H26" s="175"/>
      <c r="I26" s="176"/>
      <c r="J26" s="114"/>
      <c r="K26" s="115"/>
      <c r="L26" s="116"/>
      <c r="M26" s="223"/>
    </row>
    <row r="27" spans="2:17" x14ac:dyDescent="0.35">
      <c r="B27" s="212"/>
      <c r="C27" s="211">
        <v>35718</v>
      </c>
      <c r="D27" s="186"/>
      <c r="E27" s="186"/>
      <c r="F27" s="186">
        <v>1</v>
      </c>
      <c r="G27" s="186"/>
      <c r="H27" s="186"/>
      <c r="I27" s="204"/>
      <c r="J27" s="198">
        <v>2.0440491000000001</v>
      </c>
      <c r="K27" s="199">
        <v>20.570342130000004</v>
      </c>
      <c r="L27" s="200">
        <v>32.380352710000004</v>
      </c>
      <c r="M27" s="223"/>
    </row>
    <row r="28" spans="2:17" x14ac:dyDescent="0.35">
      <c r="B28" s="210"/>
      <c r="C28" s="211">
        <v>37422</v>
      </c>
      <c r="D28" s="185"/>
      <c r="E28" s="186"/>
      <c r="F28" s="186">
        <v>1</v>
      </c>
      <c r="G28" s="186"/>
      <c r="H28" s="186"/>
      <c r="I28" s="187"/>
      <c r="J28" s="198">
        <v>2</v>
      </c>
      <c r="K28" s="199">
        <v>21.83</v>
      </c>
      <c r="L28" s="200">
        <v>33.36</v>
      </c>
      <c r="M28" s="223"/>
    </row>
    <row r="29" spans="2:17" ht="15" thickBot="1" x14ac:dyDescent="0.4">
      <c r="B29" s="146"/>
      <c r="C29" s="50"/>
      <c r="D29" s="18"/>
      <c r="E29" s="143"/>
      <c r="F29" s="143"/>
      <c r="G29" s="143"/>
      <c r="H29" s="143"/>
      <c r="I29" s="24"/>
      <c r="J29" s="60"/>
      <c r="K29" s="64"/>
      <c r="L29" s="65"/>
      <c r="M29" s="356"/>
    </row>
    <row r="30" spans="2:17" x14ac:dyDescent="0.35">
      <c r="B30" s="210"/>
      <c r="C30" s="211">
        <v>39995</v>
      </c>
      <c r="D30" s="185"/>
      <c r="E30" s="186"/>
      <c r="F30" s="205">
        <v>1</v>
      </c>
      <c r="G30" s="186"/>
      <c r="H30" s="186"/>
      <c r="I30" s="187"/>
      <c r="J30" s="198">
        <v>1.5244140625</v>
      </c>
      <c r="K30" s="199">
        <v>19.943437500000002</v>
      </c>
      <c r="L30" s="200">
        <v>30.4384765625</v>
      </c>
      <c r="M30" s="223"/>
      <c r="O30" s="759" t="s">
        <v>159</v>
      </c>
      <c r="P30" s="760"/>
      <c r="Q30" s="761"/>
    </row>
    <row r="31" spans="2:17" ht="15" thickBot="1" x14ac:dyDescent="0.4">
      <c r="B31" s="210"/>
      <c r="C31" s="211">
        <v>42423</v>
      </c>
      <c r="D31" s="185"/>
      <c r="E31" s="186"/>
      <c r="F31" s="186"/>
      <c r="G31" s="186">
        <v>1</v>
      </c>
      <c r="H31" s="186">
        <v>1</v>
      </c>
      <c r="I31" s="187"/>
      <c r="J31" s="198">
        <v>1.9064110920399999</v>
      </c>
      <c r="K31" s="199">
        <v>21.9</v>
      </c>
      <c r="L31" s="200">
        <v>32.450000000000003</v>
      </c>
      <c r="M31" s="223"/>
      <c r="O31" s="346" t="s">
        <v>13</v>
      </c>
      <c r="P31" s="347" t="s">
        <v>14</v>
      </c>
      <c r="Q31" s="348" t="s">
        <v>15</v>
      </c>
    </row>
    <row r="32" spans="2:17" x14ac:dyDescent="0.35">
      <c r="B32" s="46"/>
      <c r="C32" s="50"/>
      <c r="D32" s="164"/>
      <c r="E32" s="10"/>
      <c r="F32" s="10"/>
      <c r="G32" s="10"/>
      <c r="H32" s="10"/>
      <c r="I32" s="163"/>
      <c r="J32" s="213"/>
      <c r="K32" s="214"/>
      <c r="L32" s="215"/>
      <c r="M32" s="358"/>
      <c r="N32" t="s">
        <v>160</v>
      </c>
      <c r="O32" s="360">
        <f>(J27-J31)/(($C31-$C27)/365)</f>
        <v>7.4925984944668239E-3</v>
      </c>
      <c r="P32" s="360">
        <f>(K27-K31)/(($C31-$C27)/365)</f>
        <v>-7.2382568612975109E-2</v>
      </c>
      <c r="Q32" s="360">
        <f>(L27-L31)/(($C31-$C27)/365)</f>
        <v>-3.791388642803819E-3</v>
      </c>
    </row>
    <row r="33" spans="2:17" x14ac:dyDescent="0.35">
      <c r="B33" s="46"/>
      <c r="C33" s="50"/>
      <c r="D33" s="164"/>
      <c r="E33" s="10"/>
      <c r="F33" s="10"/>
      <c r="G33" s="10"/>
      <c r="H33" s="10"/>
      <c r="I33" s="163"/>
      <c r="J33" s="213"/>
      <c r="K33" s="214"/>
      <c r="L33" s="215"/>
      <c r="M33" s="358"/>
      <c r="N33" t="s">
        <v>161</v>
      </c>
      <c r="O33" s="359">
        <f>O32/J27</f>
        <v>3.6655667882277503E-3</v>
      </c>
      <c r="P33" s="359">
        <f>P32/K27</f>
        <v>-3.518782923275331E-3</v>
      </c>
      <c r="Q33" s="359">
        <f>Q32/L27</f>
        <v>-1.1708917060785836E-4</v>
      </c>
    </row>
    <row r="34" spans="2:17" x14ac:dyDescent="0.35">
      <c r="B34" s="46"/>
      <c r="C34" s="50"/>
      <c r="D34" s="164"/>
      <c r="E34" s="10"/>
      <c r="F34" s="10"/>
      <c r="G34" s="10"/>
      <c r="H34" s="10"/>
      <c r="I34" s="163"/>
      <c r="J34" s="54"/>
      <c r="K34" s="55"/>
      <c r="L34" s="56"/>
      <c r="M34" s="354"/>
    </row>
    <row r="35" spans="2:17" x14ac:dyDescent="0.35">
      <c r="B35" s="46"/>
      <c r="C35" s="50"/>
      <c r="D35" s="164"/>
      <c r="E35" s="10"/>
      <c r="F35" s="10"/>
      <c r="G35" s="10"/>
      <c r="H35" s="10"/>
      <c r="I35" s="163"/>
      <c r="J35" s="54"/>
      <c r="K35" s="55"/>
      <c r="L35" s="56"/>
      <c r="M35" s="354"/>
    </row>
    <row r="36" spans="2:17" x14ac:dyDescent="0.35">
      <c r="B36" s="47"/>
      <c r="C36" s="51"/>
      <c r="D36" s="165"/>
      <c r="E36" s="122"/>
      <c r="F36" s="122"/>
      <c r="G36" s="122"/>
      <c r="H36" s="122"/>
      <c r="I36" s="166"/>
      <c r="J36" s="57"/>
      <c r="K36" s="58"/>
      <c r="L36" s="59"/>
      <c r="M36" s="354"/>
    </row>
    <row r="37" spans="2:17" x14ac:dyDescent="0.35">
      <c r="D37" s="170"/>
      <c r="E37" s="170"/>
      <c r="F37" s="170"/>
      <c r="G37" s="170"/>
      <c r="H37" s="170"/>
      <c r="I37" s="170"/>
    </row>
    <row r="38" spans="2:17" ht="15.5" x14ac:dyDescent="0.35">
      <c r="B38" s="26" t="s">
        <v>18</v>
      </c>
      <c r="D38" s="170"/>
      <c r="E38" s="170"/>
      <c r="F38" s="170"/>
      <c r="G38" s="170"/>
      <c r="H38" s="170"/>
      <c r="I38" s="170"/>
    </row>
    <row r="39" spans="2:17" x14ac:dyDescent="0.35">
      <c r="C39" s="36" t="s">
        <v>16</v>
      </c>
      <c r="D39" s="37" t="s">
        <v>17</v>
      </c>
    </row>
    <row r="40" spans="2:17" x14ac:dyDescent="0.35">
      <c r="B40" s="27" t="s">
        <v>13</v>
      </c>
      <c r="C40" s="33">
        <f>J27-J31</f>
        <v>0.13763800796000014</v>
      </c>
      <c r="D40" s="219">
        <f>(J27-J31)/J27</f>
        <v>6.7335959767307024E-2</v>
      </c>
      <c r="F40" s="193"/>
      <c r="G40" s="35" t="s">
        <v>128</v>
      </c>
    </row>
    <row r="41" spans="2:17" x14ac:dyDescent="0.35">
      <c r="B41" s="28" t="s">
        <v>14</v>
      </c>
      <c r="C41" s="33">
        <f>K27-K31</f>
        <v>-1.3296578699999948</v>
      </c>
      <c r="D41" s="220">
        <f>(K27-K31)/K27</f>
        <v>-6.463956027550985E-2</v>
      </c>
    </row>
    <row r="42" spans="2:17" x14ac:dyDescent="0.35">
      <c r="B42" s="29" t="s">
        <v>15</v>
      </c>
      <c r="C42" s="34">
        <f>L27-L31</f>
        <v>-6.9647289999998918E-2</v>
      </c>
      <c r="D42" s="221">
        <f>(L27-L31)/L27</f>
        <v>-2.1509120244539459E-3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tabColor theme="9" tint="-0.249977111117893"/>
  </sheetPr>
  <dimension ref="B17:Y42"/>
  <sheetViews>
    <sheetView topLeftCell="A21" workbookViewId="0">
      <selection activeCell="O33" sqref="O33"/>
    </sheetView>
  </sheetViews>
  <sheetFormatPr baseColWidth="10" defaultRowHeight="14.5" x14ac:dyDescent="0.35"/>
  <cols>
    <col min="13" max="13" width="5.26953125" style="135" customWidth="1"/>
    <col min="15" max="15" width="12" bestFit="1" customWidth="1"/>
  </cols>
  <sheetData>
    <row r="17" spans="2:25" ht="15.5" x14ac:dyDescent="0.35">
      <c r="B17" s="6" t="s">
        <v>6</v>
      </c>
      <c r="C17" s="2" t="s">
        <v>19</v>
      </c>
      <c r="E17" s="1" t="s">
        <v>72</v>
      </c>
    </row>
    <row r="18" spans="2:25" ht="15.5" x14ac:dyDescent="0.35">
      <c r="B18" s="7" t="s">
        <v>7</v>
      </c>
      <c r="C18" s="3" t="s">
        <v>26</v>
      </c>
    </row>
    <row r="19" spans="2:25" x14ac:dyDescent="0.35">
      <c r="B19" s="4"/>
      <c r="C19" s="4"/>
    </row>
    <row r="20" spans="2:25" x14ac:dyDescent="0.35">
      <c r="B20" s="4"/>
      <c r="C20" s="4"/>
    </row>
    <row r="21" spans="2:25" ht="21.5" thickBot="1" x14ac:dyDescent="0.4">
      <c r="B21" s="762" t="s">
        <v>11</v>
      </c>
      <c r="C21" s="763"/>
      <c r="D21" s="763"/>
      <c r="E21" s="763"/>
      <c r="F21" s="763"/>
      <c r="G21" s="763"/>
      <c r="H21" s="763"/>
      <c r="I21" s="763"/>
      <c r="J21" s="763"/>
      <c r="K21" s="763"/>
      <c r="L21" s="764"/>
      <c r="M21" s="352"/>
    </row>
    <row r="22" spans="2:25" x14ac:dyDescent="0.35">
      <c r="B22" s="765" t="s">
        <v>0</v>
      </c>
      <c r="C22" s="767" t="s">
        <v>1</v>
      </c>
      <c r="D22" s="769" t="s">
        <v>10</v>
      </c>
      <c r="E22" s="770"/>
      <c r="F22" s="770"/>
      <c r="G22" s="770"/>
      <c r="H22" s="770"/>
      <c r="I22" s="771"/>
      <c r="J22" s="772" t="s">
        <v>12</v>
      </c>
      <c r="K22" s="770"/>
      <c r="L22" s="773"/>
      <c r="M22" s="353"/>
    </row>
    <row r="23" spans="2:25" ht="44" thickBot="1" x14ac:dyDescent="0.4">
      <c r="B23" s="766"/>
      <c r="C23" s="768"/>
      <c r="D23" s="48" t="s">
        <v>8</v>
      </c>
      <c r="E23" s="30" t="s">
        <v>2</v>
      </c>
      <c r="F23" s="30" t="s">
        <v>3</v>
      </c>
      <c r="G23" s="30" t="s">
        <v>4</v>
      </c>
      <c r="H23" s="30" t="s">
        <v>5</v>
      </c>
      <c r="I23" s="32" t="s">
        <v>9</v>
      </c>
      <c r="J23" s="147" t="s">
        <v>13</v>
      </c>
      <c r="K23" s="30" t="s">
        <v>14</v>
      </c>
      <c r="L23" s="148" t="s">
        <v>15</v>
      </c>
      <c r="M23" s="353"/>
    </row>
    <row r="24" spans="2:25" x14ac:dyDescent="0.35">
      <c r="B24" s="45"/>
      <c r="C24" s="66"/>
      <c r="D24" s="160"/>
      <c r="E24" s="15"/>
      <c r="F24" s="15"/>
      <c r="G24" s="15"/>
      <c r="H24" s="15"/>
      <c r="I24" s="23"/>
      <c r="J24" s="90"/>
      <c r="K24" s="91"/>
      <c r="L24" s="92"/>
      <c r="M24" s="223"/>
      <c r="N24" s="35"/>
      <c r="O24" s="82"/>
      <c r="P24" s="87"/>
      <c r="Q24" s="194"/>
      <c r="R24" s="138"/>
      <c r="S24" s="138"/>
      <c r="T24" s="138"/>
      <c r="U24" s="138"/>
      <c r="V24" s="138"/>
      <c r="W24" s="223"/>
      <c r="X24" s="223"/>
      <c r="Y24" s="223"/>
    </row>
    <row r="25" spans="2:25" x14ac:dyDescent="0.35">
      <c r="B25" s="146"/>
      <c r="C25" s="49"/>
      <c r="D25" s="18"/>
      <c r="E25" s="143"/>
      <c r="F25" s="143"/>
      <c r="G25" s="143"/>
      <c r="H25" s="143"/>
      <c r="I25" s="24"/>
      <c r="J25" s="90"/>
      <c r="K25" s="91"/>
      <c r="L25" s="92"/>
      <c r="M25" s="223"/>
      <c r="O25" s="82"/>
      <c r="P25" s="82"/>
      <c r="Q25" s="224"/>
      <c r="R25" s="138"/>
      <c r="S25" s="138"/>
      <c r="T25" s="138"/>
      <c r="U25" s="138"/>
      <c r="V25" s="138"/>
      <c r="W25" s="223"/>
      <c r="X25" s="223"/>
      <c r="Y25" s="223"/>
    </row>
    <row r="26" spans="2:25" x14ac:dyDescent="0.35">
      <c r="B26" s="210"/>
      <c r="C26" s="452">
        <v>37438</v>
      </c>
      <c r="D26" s="209"/>
      <c r="E26" s="207"/>
      <c r="F26" s="193">
        <v>1</v>
      </c>
      <c r="G26" s="207"/>
      <c r="H26" s="207"/>
      <c r="I26" s="208"/>
      <c r="J26" s="198">
        <v>81.790000000000006</v>
      </c>
      <c r="K26" s="199">
        <v>96.18</v>
      </c>
      <c r="L26" s="200">
        <v>231.15557075019183</v>
      </c>
      <c r="M26" s="223"/>
      <c r="O26" s="82"/>
      <c r="P26" s="87"/>
      <c r="Q26" s="224"/>
      <c r="R26" s="138"/>
      <c r="S26" s="138"/>
      <c r="T26" s="138"/>
      <c r="U26" s="138"/>
      <c r="V26" s="138"/>
      <c r="W26" s="223"/>
      <c r="X26" s="223"/>
      <c r="Y26" s="223"/>
    </row>
    <row r="27" spans="2:25" x14ac:dyDescent="0.35">
      <c r="B27" s="146"/>
      <c r="C27" s="50"/>
      <c r="D27" s="18"/>
      <c r="E27" s="143"/>
      <c r="F27" s="143"/>
      <c r="G27" s="143"/>
      <c r="H27" s="143"/>
      <c r="I27" s="24"/>
      <c r="J27" s="90"/>
      <c r="K27" s="91"/>
      <c r="L27" s="92"/>
      <c r="M27" s="223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</row>
    <row r="28" spans="2:25" x14ac:dyDescent="0.35">
      <c r="B28" s="210"/>
      <c r="C28" s="452">
        <v>39410</v>
      </c>
      <c r="D28" s="209"/>
      <c r="E28" s="207"/>
      <c r="F28" s="207">
        <v>1</v>
      </c>
      <c r="G28" s="207"/>
      <c r="H28" s="207"/>
      <c r="I28" s="208"/>
      <c r="J28" s="198">
        <v>83.237474918365479</v>
      </c>
      <c r="K28" s="199">
        <v>95.256336688995361</v>
      </c>
      <c r="L28" s="200">
        <v>225.95</v>
      </c>
      <c r="M28" s="223"/>
    </row>
    <row r="29" spans="2:25" ht="15" thickBot="1" x14ac:dyDescent="0.4">
      <c r="B29" s="210"/>
      <c r="C29" s="452">
        <v>42341</v>
      </c>
      <c r="D29" s="209"/>
      <c r="E29" s="207"/>
      <c r="F29" s="207"/>
      <c r="G29" s="207">
        <v>1</v>
      </c>
      <c r="H29" s="207">
        <v>1</v>
      </c>
      <c r="I29" s="208"/>
      <c r="J29" s="198">
        <v>69.867448645799996</v>
      </c>
      <c r="K29" s="199">
        <v>88.821410564000033</v>
      </c>
      <c r="L29" s="200">
        <v>198.89141056400001</v>
      </c>
      <c r="M29" s="223"/>
    </row>
    <row r="30" spans="2:25" x14ac:dyDescent="0.35">
      <c r="B30" s="46"/>
      <c r="C30" s="50"/>
      <c r="D30" s="164"/>
      <c r="E30" s="10"/>
      <c r="F30" s="10"/>
      <c r="G30" s="10"/>
      <c r="H30" s="10"/>
      <c r="I30" s="163"/>
      <c r="J30" s="90"/>
      <c r="K30" s="91"/>
      <c r="L30" s="92"/>
      <c r="M30" s="223"/>
      <c r="O30" s="759" t="s">
        <v>159</v>
      </c>
      <c r="P30" s="760"/>
      <c r="Q30" s="761"/>
    </row>
    <row r="31" spans="2:25" ht="15" thickBot="1" x14ac:dyDescent="0.4">
      <c r="B31" s="46"/>
      <c r="C31" s="50"/>
      <c r="D31" s="164"/>
      <c r="E31" s="10"/>
      <c r="F31" s="10"/>
      <c r="G31" s="10"/>
      <c r="H31" s="10"/>
      <c r="I31" s="163"/>
      <c r="J31" s="90"/>
      <c r="K31" s="91"/>
      <c r="L31" s="92"/>
      <c r="M31" s="223"/>
      <c r="O31" s="346" t="s">
        <v>13</v>
      </c>
      <c r="P31" s="347" t="s">
        <v>14</v>
      </c>
      <c r="Q31" s="348" t="s">
        <v>15</v>
      </c>
    </row>
    <row r="32" spans="2:25" x14ac:dyDescent="0.35">
      <c r="B32" s="46"/>
      <c r="C32" s="50"/>
      <c r="D32" s="164"/>
      <c r="E32" s="10"/>
      <c r="F32" s="10"/>
      <c r="G32" s="10"/>
      <c r="H32" s="10"/>
      <c r="I32" s="163"/>
      <c r="J32" s="90"/>
      <c r="K32" s="91"/>
      <c r="L32" s="92"/>
      <c r="M32" s="223"/>
      <c r="N32" t="s">
        <v>160</v>
      </c>
      <c r="O32" s="360">
        <f>(J26-J29)/(($C29-$C26)/365)</f>
        <v>0.88756501005160182</v>
      </c>
      <c r="P32" s="360">
        <f>(K26-K29)/(($C29-$C26)/365)</f>
        <v>0.54780443486436681</v>
      </c>
      <c r="Q32" s="360">
        <f>(L26-L29)/(($C29-$C26)/365)</f>
        <v>2.4018801688680425</v>
      </c>
    </row>
    <row r="33" spans="2:17" x14ac:dyDescent="0.35">
      <c r="B33" s="46"/>
      <c r="C33" s="50"/>
      <c r="D33" s="164"/>
      <c r="E33" s="10"/>
      <c r="F33" s="10"/>
      <c r="G33" s="10"/>
      <c r="H33" s="10"/>
      <c r="I33" s="163"/>
      <c r="J33" s="90"/>
      <c r="K33" s="91"/>
      <c r="L33" s="92"/>
      <c r="M33" s="223"/>
      <c r="N33" t="s">
        <v>161</v>
      </c>
      <c r="O33" s="359">
        <f>O32/J26</f>
        <v>1.085175461610957E-2</v>
      </c>
      <c r="P33" s="359">
        <f t="shared" ref="P33:Q33" si="0">P32/K26</f>
        <v>5.6956169147885918E-3</v>
      </c>
      <c r="Q33" s="359">
        <f t="shared" si="0"/>
        <v>1.0390751826023423E-2</v>
      </c>
    </row>
    <row r="34" spans="2:17" x14ac:dyDescent="0.35">
      <c r="B34" s="46"/>
      <c r="C34" s="50"/>
      <c r="D34" s="164"/>
      <c r="E34" s="10"/>
      <c r="F34" s="10"/>
      <c r="G34" s="10"/>
      <c r="H34" s="10"/>
      <c r="I34" s="163"/>
      <c r="J34" s="54"/>
      <c r="K34" s="55"/>
      <c r="L34" s="56"/>
      <c r="M34" s="354"/>
    </row>
    <row r="35" spans="2:17" x14ac:dyDescent="0.35">
      <c r="B35" s="46"/>
      <c r="C35" s="50"/>
      <c r="D35" s="164"/>
      <c r="E35" s="10"/>
      <c r="F35" s="10"/>
      <c r="G35" s="10"/>
      <c r="H35" s="10"/>
      <c r="I35" s="163"/>
      <c r="J35" s="54"/>
      <c r="K35" s="55"/>
      <c r="L35" s="56"/>
      <c r="M35" s="354"/>
    </row>
    <row r="36" spans="2:17" x14ac:dyDescent="0.35">
      <c r="B36" s="47"/>
      <c r="C36" s="51"/>
      <c r="D36" s="165"/>
      <c r="E36" s="122"/>
      <c r="F36" s="122"/>
      <c r="G36" s="122"/>
      <c r="H36" s="122"/>
      <c r="I36" s="166"/>
      <c r="J36" s="57"/>
      <c r="K36" s="58"/>
      <c r="L36" s="59"/>
      <c r="M36" s="354"/>
    </row>
    <row r="37" spans="2:17" x14ac:dyDescent="0.35">
      <c r="D37" s="170"/>
      <c r="E37" s="170"/>
      <c r="F37" s="170"/>
      <c r="G37" s="170"/>
      <c r="H37" s="170"/>
      <c r="I37" s="170"/>
    </row>
    <row r="38" spans="2:17" ht="15.5" x14ac:dyDescent="0.35">
      <c r="B38" s="26" t="s">
        <v>18</v>
      </c>
      <c r="D38" s="170"/>
      <c r="E38" s="170"/>
      <c r="F38" s="170"/>
      <c r="G38" s="170"/>
      <c r="H38" s="170"/>
      <c r="I38" s="170"/>
    </row>
    <row r="39" spans="2:17" x14ac:dyDescent="0.35">
      <c r="C39" s="36" t="s">
        <v>16</v>
      </c>
      <c r="D39" s="222" t="s">
        <v>17</v>
      </c>
    </row>
    <row r="40" spans="2:17" x14ac:dyDescent="0.35">
      <c r="B40" s="27" t="s">
        <v>13</v>
      </c>
      <c r="C40" s="33">
        <f>J29-J26</f>
        <v>-11.92255135420001</v>
      </c>
      <c r="D40" s="39">
        <f>(J26-J29)/J26</f>
        <v>0.14577028187064445</v>
      </c>
      <c r="F40" s="193"/>
      <c r="G40" s="35" t="s">
        <v>128</v>
      </c>
    </row>
    <row r="41" spans="2:17" x14ac:dyDescent="0.35">
      <c r="B41" s="28" t="s">
        <v>14</v>
      </c>
      <c r="C41" s="33">
        <f>K29-K26</f>
        <v>-7.3585894359999742</v>
      </c>
      <c r="D41" s="39">
        <f>(K26-K29)/K26</f>
        <v>7.6508519817009499E-2</v>
      </c>
    </row>
    <row r="42" spans="2:17" x14ac:dyDescent="0.35">
      <c r="B42" s="29" t="s">
        <v>15</v>
      </c>
      <c r="C42" s="34">
        <f>L29-L26</f>
        <v>-32.264160186191816</v>
      </c>
      <c r="D42" s="40">
        <f>(L26-L29)/L26</f>
        <v>0.13957768822737768</v>
      </c>
    </row>
  </sheetData>
  <mergeCells count="6">
    <mergeCell ref="O30:Q30"/>
    <mergeCell ref="B21:L21"/>
    <mergeCell ref="B22:B23"/>
    <mergeCell ref="C22:C23"/>
    <mergeCell ref="D22:I22"/>
    <mergeCell ref="J22:L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B6F753C52164FB1D554AAB843CFC0" ma:contentTypeVersion="13" ma:contentTypeDescription="Crear nuevo documento." ma:contentTypeScope="" ma:versionID="ec9c9f87dfd93691c1165462611ca96c">
  <xsd:schema xmlns:xsd="http://www.w3.org/2001/XMLSchema" xmlns:xs="http://www.w3.org/2001/XMLSchema" xmlns:p="http://schemas.microsoft.com/office/2006/metadata/properties" xmlns:ns3="da22d1dd-5ebb-4fec-87c6-eff43ee1d269" xmlns:ns4="ad235908-71e9-4a93-8573-0051611839c1" targetNamespace="http://schemas.microsoft.com/office/2006/metadata/properties" ma:root="true" ma:fieldsID="db51a6da91cc0fd924719a04fa430196" ns3:_="" ns4:_="">
    <xsd:import namespace="da22d1dd-5ebb-4fec-87c6-eff43ee1d269"/>
    <xsd:import namespace="ad235908-71e9-4a93-8573-005161183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2d1dd-5ebb-4fec-87c6-eff43ee1d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35908-71e9-4a93-8573-0051611839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AE6D95-CEB0-4A10-AD51-BE72C65C00E8}">
  <ds:schemaRefs>
    <ds:schemaRef ds:uri="http://schemas.microsoft.com/office/2006/metadata/properties"/>
    <ds:schemaRef ds:uri="http://purl.org/dc/terms/"/>
    <ds:schemaRef ds:uri="ad235908-71e9-4a93-8573-0051611839c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a22d1dd-5ebb-4fec-87c6-eff43ee1d26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F8F486-3F7A-474F-8D27-9D309E37F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A97CF5-F602-4FEC-8D0C-E39686CEF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2d1dd-5ebb-4fec-87c6-eff43ee1d269"/>
    <ds:schemaRef ds:uri="ad235908-71e9-4a93-8573-005161183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INFORMACION ENVIADA 2020</vt:lpstr>
      <vt:lpstr>TABLA GNAL</vt:lpstr>
      <vt:lpstr>TABLAS PRESENTACION</vt:lpstr>
      <vt:lpstr>Playas</vt:lpstr>
      <vt:lpstr>Guatapé</vt:lpstr>
      <vt:lpstr>RiograndeII</vt:lpstr>
      <vt:lpstr>Miraflores</vt:lpstr>
      <vt:lpstr>Troneras</vt:lpstr>
      <vt:lpstr>Porce II</vt:lpstr>
      <vt:lpstr>Porce III</vt:lpstr>
      <vt:lpstr>Riogrande I</vt:lpstr>
      <vt:lpstr>San Carlos - Punchiná</vt:lpstr>
      <vt:lpstr>Jaguas - San Lorenzo</vt:lpstr>
      <vt:lpstr>Miel I - Amaní</vt:lpstr>
      <vt:lpstr>Sogamoso - Topocoro</vt:lpstr>
      <vt:lpstr>ALTO ANCHICAYA</vt:lpstr>
      <vt:lpstr>SALVAJINA</vt:lpstr>
      <vt:lpstr>CALIMA</vt:lpstr>
      <vt:lpstr>PRADO</vt:lpstr>
      <vt:lpstr>GUAVIO</vt:lpstr>
      <vt:lpstr>BETANIA</vt:lpstr>
      <vt:lpstr>QUIMBO</vt:lpstr>
      <vt:lpstr>SISGA</vt:lpstr>
      <vt:lpstr>TOMINE</vt:lpstr>
      <vt:lpstr>NEUSA</vt:lpstr>
      <vt:lpstr>CHUZA</vt:lpstr>
      <vt:lpstr>MUÑA</vt:lpstr>
      <vt:lpstr>URRÁ S.A. E..S.P. - URRÁ</vt:lpstr>
      <vt:lpstr>AES - COLOMBIA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Becerra</dc:creator>
  <cp:lastModifiedBy>German Becerra</cp:lastModifiedBy>
  <dcterms:created xsi:type="dcterms:W3CDTF">2016-08-09T21:09:18Z</dcterms:created>
  <dcterms:modified xsi:type="dcterms:W3CDTF">2020-10-20T01:31:12Z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0x010100234B6F753C52164FB1D554AAB843CFC0</vt:lpwstr>
  </property>
</Properties>
</file>